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drawings/drawing4.xml" ContentType="application/vnd.openxmlformats-officedocument.drawing+xml"/>
  <Override PartName="/xl/drawings/vmlDrawing2.vml" ContentType="application/vnd.openxmlformats-officedocument.vmlDrawing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Cómo se usa" sheetId="1" state="visible" r:id="rId3"/>
    <sheet name="Hoy" sheetId="2" state="visible" r:id="rId4"/>
    <sheet name="Pedidos" sheetId="3" state="visible" r:id="rId5"/>
    <sheet name="Por proveedor" sheetId="4" state="visible" r:id="rId6"/>
    <sheet name="Listas" sheetId="5" state="visible" r:id="rId7"/>
  </sheets>
  <definedNames>
    <definedName function="false" hidden="true" localSheetId="2" name="_xlnm._FilterDatabase" vbProcedure="false">Pedidos!$A$4:$W$304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El número o la referencia del pedido al proveedor. Si un pedido lleva varios artículos, pon el mismo número en cada fila.</t>
        </r>
      </text>
    </comment>
    <comment ref="C4" authorId="0">
      <text>
        <r>
          <rPr>
            <sz val="10"/>
            <rFont val="Arial"/>
            <family val="2"/>
          </rPr>
          <t xml:space="preserve">El día que se lo pides al proveedor. Vacía = aún por pedir.</t>
        </r>
      </text>
    </comment>
    <comment ref="D4" authorId="0">
      <text>
        <r>
          <rPr>
            <sz val="10"/>
            <rFont val="Arial"/>
            <family val="2"/>
          </rPr>
          <t xml:space="preserve">A quién se lo pides. La lista se cambia en la pestaña Listas.</t>
        </r>
      </text>
    </comment>
    <comment ref="D5" authorId="0">
      <text>
        <r>
          <rPr>
            <sz val="10"/>
            <rFont val="Arial"/>
            <family val="2"/>
          </rPr>
          <t xml:space="preserve">Las 10 primeras filas son ejemplos (en cursiva). Bórralas cuando empieces: selecciona esas filas y pulsa Suprimir.</t>
        </r>
      </text>
    </comment>
    <comment ref="E4" authorId="0">
      <text>
        <r>
          <rPr>
            <sz val="10"/>
            <rFont val="Arial"/>
            <family val="2"/>
          </rPr>
          <t xml:space="preserve">Opcional: la referencia del proveedor. Las que más pides puedes tenerlas en Listas.</t>
        </r>
      </text>
    </comment>
    <comment ref="F4" authorId="0">
      <text>
        <r>
          <rPr>
            <sz val="10"/>
            <rFont val="Arial"/>
            <family val="2"/>
          </rPr>
          <t xml:space="preserve">Lo que pides, como lo llamas tú.</t>
        </r>
      </text>
    </comment>
    <comment ref="H4" authorId="0">
      <text>
        <r>
          <rPr>
            <sz val="10"/>
            <rFont val="Arial"/>
            <family val="2"/>
          </rPr>
          <t xml:space="preserve">Sin IVA o con IVA, como lo lleves tú, pero siempre igual.</t>
        </r>
      </text>
    </comment>
    <comment ref="I4" authorId="0">
      <text>
        <r>
          <rPr>
            <sz val="10"/>
            <rFont val="Arial"/>
            <family val="2"/>
          </rPr>
          <t xml:space="preserve">Cantidad por precio. Sale solo.</t>
        </r>
      </text>
    </comment>
    <comment ref="J4" authorId="0">
      <text>
        <r>
          <rPr>
            <sz val="10"/>
            <rFont val="Arial"/>
            <family val="2"/>
          </rPr>
          <t xml:space="preserve">El cliente que lo espera o «Stock» si es para tener en la tienda.</t>
        </r>
      </text>
    </comment>
    <comment ref="K4" authorId="0">
      <text>
        <r>
          <rPr>
            <sz val="10"/>
            <rFont val="Arial"/>
            <family val="2"/>
          </rPr>
          <t xml:space="preserve">Sale solo de las fechas y de lo que llega. No hace falta escribirlo.</t>
        </r>
      </text>
    </comment>
    <comment ref="L2" authorId="0">
      <text>
        <r>
          <rPr>
            <sz val="10"/>
            <rFont val="Arial"/>
            <family val="2"/>
          </rPr>
          <t xml:space="preserve">Cámbialo a tu gusto: la pestaña Hoy cuenta lo que debería llegar en estos días.</t>
        </r>
      </text>
    </comment>
    <comment ref="L4" authorId="0">
      <text>
        <r>
          <rPr>
            <sz val="10"/>
            <rFont val="Arial"/>
            <family val="2"/>
          </rPr>
          <t xml:space="preserve">Días desde que debía llegar. Si ya llegó, los días que tardó de más.</t>
        </r>
      </text>
    </comment>
    <comment ref="M4" authorId="0">
      <text>
        <r>
          <rPr>
            <sz val="10"/>
            <rFont val="Arial"/>
            <family val="2"/>
          </rPr>
          <t xml:space="preserve">El día que el proveedor dice que llega. Si la dejas vacía, se usa su plazo habitual (pestaña Listas).</t>
        </r>
      </text>
    </comment>
    <comment ref="N4" authorId="0">
      <text>
        <r>
          <rPr>
            <sz val="10"/>
            <rFont val="Arial"/>
            <family val="2"/>
          </rPr>
          <t xml:space="preserve">La fecha prometida o, si no hay, la del pedido más el plazo habitual del proveedor. Sale sola.</t>
        </r>
      </text>
    </comment>
    <comment ref="O4" authorId="0">
      <text>
        <r>
          <rPr>
            <sz val="10"/>
            <rFont val="Arial"/>
            <family val="2"/>
          </rPr>
          <t xml:space="preserve">El día que lo recibes.</t>
        </r>
      </text>
    </comment>
    <comment ref="P4" authorId="0">
      <text>
        <r>
          <rPr>
            <sz val="10"/>
            <rFont val="Arial"/>
            <family val="2"/>
          </rPr>
          <t xml:space="preserve">Lo que ha llegado de verdad. Vacía = llegó todo.</t>
        </r>
      </text>
    </comment>
    <comment ref="Q4" authorId="0">
      <text>
        <r>
          <rPr>
            <sz val="10"/>
            <rFont val="Arial"/>
            <family val="2"/>
          </rPr>
          <t xml:space="preserve">«Bien» o «Con incidencia» (roto, equivocado, mal de precio…).</t>
        </r>
      </text>
    </comment>
    <comment ref="R4" authorId="0">
      <text>
        <r>
          <rPr>
            <sz val="10"/>
            <rFont val="Arial"/>
            <family val="2"/>
          </rPr>
          <t xml:space="preserve">Qué ha pasado y qué te ha dicho el proveedor.</t>
        </r>
      </text>
    </comment>
    <comment ref="S4" authorId="0">
      <text>
        <r>
          <rPr>
            <sz val="10"/>
            <rFont val="Arial"/>
            <family val="2"/>
          </rPr>
          <t xml:space="preserve">Días desde el pedido hasta que llegó. Sale solo.</t>
        </r>
      </text>
    </comment>
    <comment ref="T4" authorId="0">
      <text>
        <r>
          <rPr>
            <sz val="10"/>
            <rFont val="Arial"/>
            <family val="2"/>
          </rPr>
          <t xml:space="preserve">«Sí», «No» o el día que lo pagaste. Vacío = sin pagar.</t>
        </r>
      </text>
    </comment>
    <comment ref="U4" authorId="0">
      <text>
        <r>
          <rPr>
            <sz val="10"/>
            <rFont val="Arial"/>
            <family val="2"/>
          </rPr>
          <t xml:space="preserve">Lo recibido que aún no has pagado. Sale solo.</t>
        </r>
      </text>
    </comment>
    <comment ref="V4" authorId="0">
      <text>
        <r>
          <rPr>
            <sz val="10"/>
            <rFont val="Arial"/>
            <family val="2"/>
          </rPr>
          <t xml:space="preserve">Si se anula, pon «Sí». No borres la fila: así no pierdes el historial.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Por pedir, esperando, retrasados o incompletos.</t>
        </r>
      </text>
    </comment>
    <comment ref="D4" authorId="0">
      <text>
        <r>
          <rPr>
            <sz val="10"/>
            <rFont val="Arial"/>
            <family val="2"/>
          </rPr>
          <t xml:space="preserve">Pasó la fecha y no ha llegado.</t>
        </r>
      </text>
    </comment>
    <comment ref="F4" authorId="0">
      <text>
        <r>
          <rPr>
            <sz val="10"/>
            <rFont val="Arial"/>
            <family val="2"/>
          </rPr>
          <t xml:space="preserve">Recibido y sin pagar.</t>
        </r>
      </text>
    </comment>
    <comment ref="G4" authorId="0">
      <text>
        <r>
          <rPr>
            <sz val="10"/>
            <rFont val="Arial"/>
            <family val="2"/>
          </rPr>
          <t xml:space="preserve">Lo pedido este mes, sin lo anulado.</t>
        </r>
      </text>
    </comment>
    <comment ref="H4" authorId="0">
      <text>
        <r>
          <rPr>
            <sz val="10"/>
            <rFont val="Arial"/>
            <family val="2"/>
          </rPr>
          <t xml:space="preserve">Lo pedido este año, sin lo anulado.</t>
        </r>
      </text>
    </comment>
    <comment ref="I4" authorId="0">
      <text>
        <r>
          <rPr>
            <sz val="10"/>
            <rFont val="Arial"/>
            <family val="2"/>
          </rPr>
          <t xml:space="preserve">Días medios desde el pedido hasta que llega.</t>
        </r>
      </text>
    </comment>
    <comment ref="J4" authorId="0">
      <text>
        <r>
          <rPr>
            <sz val="10"/>
            <rFont val="Arial"/>
            <family val="2"/>
          </rPr>
          <t xml:space="preserve">El que pusiste en Listas.</t>
        </r>
      </text>
    </comment>
    <comment ref="K4" authorId="0">
      <text>
        <r>
          <rPr>
            <sz val="10"/>
            <rFont val="Arial"/>
            <family val="2"/>
          </rPr>
          <t xml:space="preserve">Veces que llegó después de la fecha que debía.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4" authorId="0">
      <text>
        <r>
          <rPr>
            <sz val="10"/>
            <rFont val="Arial"/>
            <family val="2"/>
          </rPr>
          <t xml:space="preserve">Los días que suele tardar. Si en un pedido no pones fecha prometida, se cuenta con este plazo.</t>
        </r>
      </text>
    </comment>
  </commentList>
</comments>
</file>

<file path=xl/sharedStrings.xml><?xml version="1.0" encoding="utf-8"?>
<sst xmlns="http://schemas.openxmlformats.org/spreadsheetml/2006/main" count="203" uniqueCount="155">
  <si>
    <t xml:space="preserve">Pedido a proveedores</t>
  </si>
  <si>
    <t xml:space="preserve">Plantilla gratis de Pathing para llevar lo que pides a tus proveedores: qué falta por llegar, qué llega mal y cuánto les debes.</t>
  </si>
  <si>
    <t xml:space="preserve">Una fila por artículo</t>
  </si>
  <si>
    <t xml:space="preserve">En «Pedidos», rellena lo blanco: proveedor, artículo, cantidad y precio. Si un pedido lleva varios artículos, repite el nº de pedido en cada fila. Lo gris sale solo.</t>
  </si>
  <si>
    <t xml:space="preserve">Para quién</t>
  </si>
  <si>
    <t xml:space="preserve">Escribe el cliente que lo espera o elige «Stock» si es para tener en la tienda.</t>
  </si>
  <si>
    <t xml:space="preserve">Apunta las fechas</t>
  </si>
  <si>
    <t xml:space="preserve">El día que lo pides y el que te promete el proveedor. Si no te da fecha, se cuenta su plazo habitual, que pones en «Listas».</t>
  </si>
  <si>
    <t xml:space="preserve">Al recibirlo</t>
  </si>
  <si>
    <t xml:space="preserve">Pon la fecha de llegada. Si falta algo, escribe lo que llegó; si viene mal, elige «Con incidencia» y cuenta qué pasó. Cuando pagues, pon «Sí» o la fecha en «Pagado».</t>
  </si>
  <si>
    <t xml:space="preserve">Cada mañana, «Hoy»</t>
  </si>
  <si>
    <t xml:space="preserve">Qué va con retraso, qué llega pronto, qué falta por recibir y cuánto debes. En «Por proveedor», cómo cumple cada uno.</t>
  </si>
  <si>
    <t xml:space="preserve">Los estados</t>
  </si>
  <si>
    <t xml:space="preserve">🛒 Por pedir   ·   aún no tiene fecha de pedido</t>
  </si>
  <si>
    <t xml:space="preserve">📦 Pedido (esperando)   ·   pedido y dentro de plazo</t>
  </si>
  <si>
    <t xml:space="preserve">🐢 Retrasado   ·   pasó la fecha y no ha llegado</t>
  </si>
  <si>
    <t xml:space="preserve">🧩 Llegó incompleto   ·   llegó menos de lo pedido</t>
  </si>
  <si>
    <t xml:space="preserve">⚠️ Llegó con incidencia   ·   llegó, pero algo vino mal</t>
  </si>
  <si>
    <t xml:space="preserve">✅ Recibido   ·   llegó todo y bien</t>
  </si>
  <si>
    <t xml:space="preserve">✖️ Anulado   ·   no sigue; la fila se queda</t>
  </si>
  <si>
    <t xml:space="preserve">«Retraso» cuenta los días desde que debía llegar; si llegó tarde, se queda apuntado. Lo recibido y pagado se pone en gris.</t>
  </si>
  <si>
    <t xml:space="preserve">Para empezar</t>
  </si>
  <si>
    <t xml:space="preserve">·  Las 10 primeras filas de «Pedidos» son ejemplos en cursiva: bórralas.</t>
  </si>
  <si>
    <t xml:space="preserve">·  Escribe tus proveedores, con su teléfono y su plazo habitual, en «Listas».</t>
  </si>
  <si>
    <t xml:space="preserve">·  Arriba en «Pedidos» puedes cambiar cuántos días cuentan como «Llega pronto».</t>
  </si>
  <si>
    <t xml:space="preserve">·  Funciona en Excel, Google Sheets y LibreOffice. Sin macros.</t>
  </si>
  <si>
    <t xml:space="preserve">¿Te sirve pero se te queda corta? Si sois varios a la vez, quieres que lo que llega se sume solo al stock y saber qué trabajos lo esperaban, o que te avise cuando algo se acaba, eso es lo que hace Pathing.</t>
  </si>
  <si>
    <t xml:space="preserve">Escríbenos a hola@pathing.app y lo vemos.</t>
  </si>
  <si>
    <t xml:space="preserve">Plantilla gratis de Pathing (pathing.app). Úsala, cámbiala y compártela como quieras.</t>
  </si>
  <si>
    <t xml:space="preserve">Hoy</t>
  </si>
  <si>
    <t xml:space="preserve">Plantilla gratis de Pathing  ·  pathing.app</t>
  </si>
  <si>
    <t xml:space="preserve">Lo que hay que mirar hoy, de un vistazo. Se actualiza solo con lo que apuntas en «Pedidos». Cada número cuenta artículos (filas).</t>
  </si>
  <si>
    <t xml:space="preserve">🐢 Retrasados</t>
  </si>
  <si>
    <t xml:space="preserve">📅 Llega pronto</t>
  </si>
  <si>
    <t xml:space="preserve">📦 Por recibir</t>
  </si>
  <si>
    <t xml:space="preserve">pasó la fecha y no ha llegado</t>
  </si>
  <si>
    <t xml:space="preserve">debería llegar en los próximos días</t>
  </si>
  <si>
    <t xml:space="preserve">pedidos, aún sin llegar del todo</t>
  </si>
  <si>
    <t xml:space="preserve">🛒 Por pedir</t>
  </si>
  <si>
    <t xml:space="preserve">🧩 Llegó incompleto</t>
  </si>
  <si>
    <t xml:space="preserve">⚠️ Con incidencia</t>
  </si>
  <si>
    <t xml:space="preserve">apuntados y sin pedir</t>
  </si>
  <si>
    <t xml:space="preserve">falta parte por llegar</t>
  </si>
  <si>
    <t xml:space="preserve">roto, equivocado o mal de precio</t>
  </si>
  <si>
    <t xml:space="preserve">💶 Debes a proveedores</t>
  </si>
  <si>
    <t xml:space="preserve">🗓️ Pedido este mes</t>
  </si>
  <si>
    <t xml:space="preserve">👤 Clientes esperando</t>
  </si>
  <si>
    <t xml:space="preserve">recibido y sin pagar</t>
  </si>
  <si>
    <t xml:space="preserve">sin lo anulado</t>
  </si>
  <si>
    <t xml:space="preserve">artículos pedidos para un cliente</t>
  </si>
  <si>
    <t xml:space="preserve">Lo pedido este mes, por proveedor</t>
  </si>
  <si>
    <t xml:space="preserve">Este mes</t>
  </si>
  <si>
    <t xml:space="preserve">Le debes</t>
  </si>
  <si>
    <t xml:space="preserve">Todos los proveedores, con lo que tardan y lo que les debes, en «Por proveedor».</t>
  </si>
  <si>
    <t xml:space="preserve">Qué has pedido, qué falta por llegar y cuánto debes.</t>
  </si>
  <si>
    <t xml:space="preserve">Rellena lo blanco; lo gris sale solo.</t>
  </si>
  <si>
    <t xml:space="preserve">«Llega pronto» son los próximos</t>
  </si>
  <si>
    <t xml:space="preserve">días</t>
  </si>
  <si>
    <t xml:space="preserve">EL PEDIDO</t>
  </si>
  <si>
    <t xml:space="preserve">ESTADO</t>
  </si>
  <si>
    <t xml:space="preserve">LA LLEGADA</t>
  </si>
  <si>
    <t xml:space="preserve">DINERO</t>
  </si>
  <si>
    <t xml:space="preserve">OTROS</t>
  </si>
  <si>
    <t xml:space="preserve">Nº</t>
  </si>
  <si>
    <t xml:space="preserve">Nº de pedido</t>
  </si>
  <si>
    <t xml:space="preserve">Fecha del pedido</t>
  </si>
  <si>
    <t xml:space="preserve">Proveedor</t>
  </si>
  <si>
    <t xml:space="preserve">Referencia</t>
  </si>
  <si>
    <t xml:space="preserve">Artículo</t>
  </si>
  <si>
    <t xml:space="preserve">Cantidad</t>
  </si>
  <si>
    <t xml:space="preserve">Precio unidad (€)</t>
  </si>
  <si>
    <t xml:space="preserve">Total (€)</t>
  </si>
  <si>
    <t xml:space="preserve">Estado</t>
  </si>
  <si>
    <t xml:space="preserve">Retraso (días)</t>
  </si>
  <si>
    <t xml:space="preserve">Fecha prometida</t>
  </si>
  <si>
    <t xml:space="preserve">Debería llegar</t>
  </si>
  <si>
    <t xml:space="preserve">Fecha de llegada</t>
  </si>
  <si>
    <t xml:space="preserve">Cantidad recibida</t>
  </si>
  <si>
    <t xml:space="preserve">Llegó</t>
  </si>
  <si>
    <t xml:space="preserve">Incidencia</t>
  </si>
  <si>
    <t xml:space="preserve">Tardó (días)</t>
  </si>
  <si>
    <t xml:space="preserve">Pagado</t>
  </si>
  <si>
    <t xml:space="preserve">Por pagar (€)</t>
  </si>
  <si>
    <t xml:space="preserve">Anulado</t>
  </si>
  <si>
    <t xml:space="preserve">Notas</t>
  </si>
  <si>
    <t xml:space="preserve">Suministros Beta</t>
  </si>
  <si>
    <t xml:space="preserve">BOL-M</t>
  </si>
  <si>
    <t xml:space="preserve">Bolsas de papel medianas</t>
  </si>
  <si>
    <t xml:space="preserve">Stock</t>
  </si>
  <si>
    <t xml:space="preserve">Pedir con el próximo pedido</t>
  </si>
  <si>
    <t xml:space="preserve">P-0012</t>
  </si>
  <si>
    <t xml:space="preserve">Distribuciones Alfa</t>
  </si>
  <si>
    <t xml:space="preserve">CAR-65</t>
  </si>
  <si>
    <t xml:space="preserve">Cargador USB-C 65 W</t>
  </si>
  <si>
    <t xml:space="preserve">Cliente Ana</t>
  </si>
  <si>
    <t xml:space="preserve">CAB-2</t>
  </si>
  <si>
    <t xml:space="preserve">Cable USB-C 2 m</t>
  </si>
  <si>
    <t xml:space="preserve">P-0010</t>
  </si>
  <si>
    <t xml:space="preserve">Mayorista Gamma</t>
  </si>
  <si>
    <t xml:space="preserve">PAN-15</t>
  </si>
  <si>
    <t xml:space="preserve">Pantalla de portátil 15"</t>
  </si>
  <si>
    <t xml:space="preserve">Cliente Luis</t>
  </si>
  <si>
    <t xml:space="preserve">Llamar si no llega el viernes</t>
  </si>
  <si>
    <t xml:space="preserve">P-0011</t>
  </si>
  <si>
    <t xml:space="preserve">Importaciones Omega</t>
  </si>
  <si>
    <t xml:space="preserve">ETQ-50</t>
  </si>
  <si>
    <t xml:space="preserve">Rollo de etiquetas 50×30</t>
  </si>
  <si>
    <t xml:space="preserve">Sin fecha: cuenta su plazo de 7 días</t>
  </si>
  <si>
    <t xml:space="preserve">P-0008</t>
  </si>
  <si>
    <t xml:space="preserve">CAJ-30</t>
  </si>
  <si>
    <t xml:space="preserve">Caja de cartón 30×20</t>
  </si>
  <si>
    <t xml:space="preserve">Bien</t>
  </si>
  <si>
    <t xml:space="preserve">No</t>
  </si>
  <si>
    <t xml:space="preserve">Faltan 40, las mandan aparte</t>
  </si>
  <si>
    <t xml:space="preserve">P-0007</t>
  </si>
  <si>
    <t xml:space="preserve">LED-27</t>
  </si>
  <si>
    <t xml:space="preserve">Bombilla LED E27</t>
  </si>
  <si>
    <t xml:space="preserve">Con incidencia</t>
  </si>
  <si>
    <t xml:space="preserve">3 llegaron rotas; piden foto</t>
  </si>
  <si>
    <t xml:space="preserve">P-0006</t>
  </si>
  <si>
    <t xml:space="preserve">FUN-15</t>
  </si>
  <si>
    <t xml:space="preserve">Funda de portátil 15"</t>
  </si>
  <si>
    <t xml:space="preserve">P-0009</t>
  </si>
  <si>
    <t xml:space="preserve">TIN-N</t>
  </si>
  <si>
    <t xml:space="preserve">Tinta negra para impresora</t>
  </si>
  <si>
    <t xml:space="preserve">P-0005</t>
  </si>
  <si>
    <t xml:space="preserve">CAF-1</t>
  </si>
  <si>
    <t xml:space="preserve">Café en grano 1 kg</t>
  </si>
  <si>
    <t xml:space="preserve">Sí</t>
  </si>
  <si>
    <t xml:space="preserve">Pedido repetido</t>
  </si>
  <si>
    <t xml:space="preserve">Por proveedor</t>
  </si>
  <si>
    <t xml:space="preserve">Cómo va cada proveedor. Sale solo de «Pedidos»; los proveedores, de «Listas».</t>
  </si>
  <si>
    <t xml:space="preserve">Abiertos</t>
  </si>
  <si>
    <t xml:space="preserve">Retrasados</t>
  </si>
  <si>
    <t xml:space="preserve">Le debes (€)</t>
  </si>
  <si>
    <t xml:space="preserve">Este mes (€)</t>
  </si>
  <si>
    <t xml:space="preserve">Este año (€)</t>
  </si>
  <si>
    <t xml:space="preserve">Tarda de media (días)</t>
  </si>
  <si>
    <t xml:space="preserve">Plazo habitual (días)</t>
  </si>
  <si>
    <t xml:space="preserve">Llegó tarde (veces)</t>
  </si>
  <si>
    <t xml:space="preserve">Listas</t>
  </si>
  <si>
    <t xml:space="preserve">Escribe aquí los tuyos, uno por fila. Los proveedores y las referencias salen en los desplegables de «Pedidos».</t>
  </si>
  <si>
    <t xml:space="preserve">Proveedores</t>
  </si>
  <si>
    <t xml:space="preserve">Artículos que pides a menudo (opcional)</t>
  </si>
  <si>
    <t xml:space="preserve">Teléfono</t>
  </si>
  <si>
    <t xml:space="preserve">Correo</t>
  </si>
  <si>
    <t xml:space="preserve">Último precio (€)</t>
  </si>
  <si>
    <t xml:space="preserve">000 000 001</t>
  </si>
  <si>
    <t xml:space="preserve">pedidos@alfa.ejemplo</t>
  </si>
  <si>
    <t xml:space="preserve">000 000 002</t>
  </si>
  <si>
    <t xml:space="preserve">ventas@beta.ejemplo</t>
  </si>
  <si>
    <t xml:space="preserve">000 000 003</t>
  </si>
  <si>
    <t xml:space="preserve">hola@gamma.ejemplo</t>
  </si>
  <si>
    <t xml:space="preserve">000 000 004</t>
  </si>
  <si>
    <t xml:space="preserve">pedidos@omega.ejemplo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</si>
</sst>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General"/>
    <numFmt numFmtId="166" formatCode="#,##0&quot; €&quot;"/>
    <numFmt numFmtId="167" formatCode="#,##0.00&quot; €&quot;"/>
    <numFmt numFmtId="168" formatCode="#,##0.00&quot; €&quot;;\-#,##0.00&quot; €&quot;;\–"/>
    <numFmt numFmtId="169" formatCode="@"/>
    <numFmt numFmtId="170" formatCode="dd/mm/yyyy"/>
    <numFmt numFmtId="171" formatCode="#,##0;\-#,##0;0"/>
    <numFmt numFmtId="172" formatCode="#,##0.00&quot; €&quot;;\-#,##0.00&quot; €&quot;;&quot;&quot;"/>
    <numFmt numFmtId="173" formatCode="0;\-0;&quot;&quot;"/>
    <numFmt numFmtId="174" formatCode="0;\-0;\–"/>
    <numFmt numFmtId="175" formatCode="0.0;\-0.0;\0"/>
  </numFmts>
  <fonts count="6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0"/>
      <color rgb="FF5A5A5A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2"/>
      <color rgb="FF1A1A1A"/>
      <name val="Arial"/>
      <family val="0"/>
      <charset val="1"/>
    </font>
    <font>
      <sz val="10"/>
      <color rgb="FF3A3A3A"/>
      <name val="Arial"/>
      <family val="0"/>
      <charset val="1"/>
    </font>
    <font>
      <b val="true"/>
      <sz val="10"/>
      <color rgb="FF3730A3"/>
      <name val="Arial"/>
      <family val="0"/>
      <charset val="1"/>
    </font>
    <font>
      <b val="true"/>
      <sz val="10"/>
      <color rgb="FF1F4A9A"/>
      <name val="Arial"/>
      <family val="0"/>
      <charset val="1"/>
    </font>
    <font>
      <b val="true"/>
      <sz val="10"/>
      <color rgb="FF9A3412"/>
      <name val="Arial"/>
      <family val="0"/>
      <charset val="1"/>
    </font>
    <font>
      <b val="true"/>
      <sz val="10"/>
      <color rgb="FF8A5A00"/>
      <name val="Arial"/>
      <family val="0"/>
      <charset val="1"/>
    </font>
    <font>
      <b val="true"/>
      <sz val="10"/>
      <color rgb="FFA4281B"/>
      <name val="Arial"/>
      <family val="0"/>
      <charset val="1"/>
    </font>
    <font>
      <b val="true"/>
      <sz val="10"/>
      <color rgb="FF1E6B3C"/>
      <name val="Arial"/>
      <family val="0"/>
      <charset val="1"/>
    </font>
    <font>
      <b val="true"/>
      <sz val="10"/>
      <color rgb="FFB0B0B0"/>
      <name val="Arial"/>
      <family val="0"/>
      <charset val="1"/>
    </font>
    <font>
      <sz val="9"/>
      <color rgb="FF5A5A5A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8"/>
      <color rgb="FF8A8A8A"/>
      <name val="Arial"/>
      <family val="0"/>
      <charset val="1"/>
    </font>
    <font>
      <sz val="10"/>
      <color rgb="FFCFCFCF"/>
      <name val="Arial"/>
      <family val="0"/>
      <charset val="1"/>
    </font>
    <font>
      <sz val="9"/>
      <color rgb="FFBDBDBD"/>
      <name val="Arial"/>
      <family val="0"/>
      <charset val="1"/>
    </font>
    <font>
      <b val="true"/>
      <sz val="11"/>
      <color rgb="FF9A3412"/>
      <name val="Arial"/>
      <family val="0"/>
      <charset val="1"/>
    </font>
    <font>
      <b val="true"/>
      <sz val="11"/>
      <color rgb="FF1F4A9A"/>
      <name val="Arial"/>
      <family val="0"/>
      <charset val="1"/>
    </font>
    <font>
      <b val="true"/>
      <sz val="34"/>
      <color rgb="FF9A3412"/>
      <name val="Arial"/>
      <family val="0"/>
      <charset val="1"/>
    </font>
    <font>
      <b val="true"/>
      <sz val="34"/>
      <color rgb="FF1F4A9A"/>
      <name val="Arial"/>
      <family val="0"/>
      <charset val="1"/>
    </font>
    <font>
      <sz val="9"/>
      <color rgb="FF9A3412"/>
      <name val="Arial"/>
      <family val="0"/>
      <charset val="1"/>
    </font>
    <font>
      <sz val="9"/>
      <color rgb="FF1F4A9A"/>
      <name val="Arial"/>
      <family val="0"/>
      <charset val="1"/>
    </font>
    <font>
      <b val="true"/>
      <sz val="11"/>
      <color rgb="FF3730A3"/>
      <name val="Arial"/>
      <family val="0"/>
      <charset val="1"/>
    </font>
    <font>
      <b val="true"/>
      <sz val="11"/>
      <color rgb="FF8A5A00"/>
      <name val="Arial"/>
      <family val="0"/>
      <charset val="1"/>
    </font>
    <font>
      <b val="true"/>
      <sz val="11"/>
      <color rgb="FFA4281B"/>
      <name val="Arial"/>
      <family val="0"/>
      <charset val="1"/>
    </font>
    <font>
      <b val="true"/>
      <sz val="34"/>
      <color rgb="FF3730A3"/>
      <name val="Arial"/>
      <family val="0"/>
      <charset val="1"/>
    </font>
    <font>
      <b val="true"/>
      <sz val="34"/>
      <color rgb="FF8A5A00"/>
      <name val="Arial"/>
      <family val="0"/>
      <charset val="1"/>
    </font>
    <font>
      <b val="true"/>
      <sz val="34"/>
      <color rgb="FFA4281B"/>
      <name val="Arial"/>
      <family val="0"/>
      <charset val="1"/>
    </font>
    <font>
      <sz val="9"/>
      <color rgb="FF3730A3"/>
      <name val="Arial"/>
      <family val="0"/>
      <charset val="1"/>
    </font>
    <font>
      <sz val="9"/>
      <color rgb="FF8A5A00"/>
      <name val="Arial"/>
      <family val="0"/>
      <charset val="1"/>
    </font>
    <font>
      <sz val="9"/>
      <color rgb="FFA4281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A1A1A"/>
      <name val="Arial"/>
      <family val="0"/>
      <charset val="1"/>
    </font>
    <font>
      <b val="true"/>
      <sz val="11"/>
      <color rgb="FF1E6B3C"/>
      <name val="Arial"/>
      <family val="0"/>
      <charset val="1"/>
    </font>
    <font>
      <b val="true"/>
      <sz val="34"/>
      <color rgb="FFFFFFFF"/>
      <name val="Arial"/>
      <family val="0"/>
      <charset val="1"/>
    </font>
    <font>
      <b val="true"/>
      <sz val="34"/>
      <color rgb="FF1A1A1A"/>
      <name val="Arial"/>
      <family val="0"/>
      <charset val="1"/>
    </font>
    <font>
      <b val="true"/>
      <sz val="34"/>
      <color rgb="FF1E6B3C"/>
      <name val="Arial"/>
      <family val="0"/>
      <charset val="1"/>
    </font>
    <font>
      <sz val="9"/>
      <color rgb="FFFFFFFF"/>
      <name val="Arial"/>
      <family val="0"/>
      <charset val="1"/>
    </font>
    <font>
      <sz val="9"/>
      <color rgb="FF1A1A1A"/>
      <name val="Arial"/>
      <family val="0"/>
      <charset val="1"/>
    </font>
    <font>
      <sz val="9"/>
      <color rgb="FF1E6B3C"/>
      <name val="Arial"/>
      <family val="0"/>
      <charset val="1"/>
    </font>
    <font>
      <b val="true"/>
      <sz val="9"/>
      <color rgb="FF5A5A5A"/>
      <name val="Arial"/>
      <family val="0"/>
      <charset val="1"/>
    </font>
    <font>
      <sz val="11"/>
      <color rgb="FF8A5A00"/>
      <name val="Arial"/>
      <family val="0"/>
      <charset val="1"/>
    </font>
    <font>
      <sz val="11"/>
      <color rgb="FF1A1A1A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b val="true"/>
      <sz val="12"/>
      <color rgb="FF8A5A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1A1A1A"/>
      <name val="Arial"/>
      <family val="0"/>
      <charset val="1"/>
    </font>
    <font>
      <b val="true"/>
      <sz val="9"/>
      <color rgb="FF1F4A9A"/>
      <name val="Arial"/>
      <family val="0"/>
      <charset val="1"/>
    </font>
    <font>
      <b val="true"/>
      <sz val="9"/>
      <color rgb="FF8A5A00"/>
      <name val="Arial"/>
      <family val="0"/>
      <charset val="1"/>
    </font>
    <font>
      <sz val="9"/>
      <color rgb="FFB0A898"/>
      <name val="Arial"/>
      <family val="0"/>
      <charset val="1"/>
    </font>
    <font>
      <i val="true"/>
      <sz val="10"/>
      <color rgb="FF1A1A1A"/>
      <name val="Arial"/>
      <family val="0"/>
      <charset val="1"/>
    </font>
    <font>
      <sz val="10"/>
      <name val="Arial"/>
      <family val="2"/>
    </font>
    <font>
      <b val="true"/>
      <sz val="9"/>
      <color rgb="FF5A3E96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8"/>
      <color rgb="FFFFFFFF"/>
      <name val="Arial"/>
      <family val="0"/>
      <charset val="1"/>
    </font>
  </fonts>
  <fills count="19">
    <fill>
      <patternFill patternType="none"/>
    </fill>
    <fill>
      <patternFill patternType="gray125"/>
    </fill>
    <fill>
      <patternFill patternType="solid">
        <fgColor rgb="FF1A1A1A"/>
        <bgColor rgb="FF003300"/>
      </patternFill>
    </fill>
    <fill>
      <patternFill patternType="solid">
        <fgColor rgb="FFE0E7FF"/>
        <bgColor rgb="FFE3ECFB"/>
      </patternFill>
    </fill>
    <fill>
      <patternFill patternType="solid">
        <fgColor rgb="FFE3ECFB"/>
        <bgColor rgb="FFE0E7FF"/>
      </patternFill>
    </fill>
    <fill>
      <patternFill patternType="solid">
        <fgColor rgb="FFFFE4CC"/>
        <bgColor rgb="FFFBE4E1"/>
      </patternFill>
    </fill>
    <fill>
      <patternFill patternType="solid">
        <fgColor rgb="FFFDF1D8"/>
        <bgColor rgb="FFF3EEE2"/>
      </patternFill>
    </fill>
    <fill>
      <patternFill patternType="solid">
        <fgColor rgb="FFFBE4E1"/>
        <bgColor rgb="FFFFE4CC"/>
      </patternFill>
    </fill>
    <fill>
      <patternFill patternType="solid">
        <fgColor rgb="FFDFF2E6"/>
        <bgColor rgb="FFE3ECFB"/>
      </patternFill>
    </fill>
    <fill>
      <patternFill patternType="solid">
        <fgColor rgb="FFF1F1F1"/>
        <bgColor rgb="FFF4F4F2"/>
      </patternFill>
    </fill>
    <fill>
      <patternFill patternType="solid">
        <fgColor rgb="FFF3EEE2"/>
        <bgColor rgb="FFF1F1F1"/>
      </patternFill>
    </fill>
    <fill>
      <patternFill patternType="solid">
        <fgColor rgb="FF3A3A3A"/>
        <bgColor rgb="FF5A5A5A"/>
      </patternFill>
    </fill>
    <fill>
      <patternFill patternType="solid">
        <fgColor rgb="FF1F4A9A"/>
        <bgColor rgb="FF3730A3"/>
      </patternFill>
    </fill>
    <fill>
      <patternFill patternType="solid">
        <fgColor rgb="FF8A5A00"/>
        <bgColor rgb="FF9A3412"/>
      </patternFill>
    </fill>
    <fill>
      <patternFill patternType="solid">
        <fgColor rgb="FF5A5A5A"/>
        <bgColor rgb="FF5A3E96"/>
      </patternFill>
    </fill>
    <fill>
      <patternFill patternType="solid">
        <fgColor rgb="FFF7F4EC"/>
        <bgColor rgb="FFF4F4F2"/>
      </patternFill>
    </fill>
    <fill>
      <patternFill patternType="solid">
        <fgColor rgb="FFF4F4F2"/>
        <bgColor rgb="FFF7F4EC"/>
      </patternFill>
    </fill>
    <fill>
      <patternFill patternType="solid">
        <fgColor rgb="FFFAF7F0"/>
        <bgColor rgb="FFF7F4EC"/>
      </patternFill>
    </fill>
    <fill>
      <patternFill patternType="solid">
        <fgColor rgb="FF5A3E96"/>
        <bgColor rgb="FF3730A3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9E1D0"/>
      </bottom>
      <diagonal/>
    </border>
    <border diagonalUp="false" diagonalDown="false">
      <left style="thin">
        <color rgb="FFE8C98A"/>
      </left>
      <right style="thin">
        <color rgb="FFE8C98A"/>
      </right>
      <top style="thin">
        <color rgb="FFE8C98A"/>
      </top>
      <bottom style="thin">
        <color rgb="FFE8C98A"/>
      </bottom>
      <diagonal/>
    </border>
    <border diagonalUp="false" diagonalDown="false">
      <left/>
      <right/>
      <top/>
      <bottom style="medium">
        <color rgb="FF1A1A1A"/>
      </bottom>
      <diagonal/>
    </border>
    <border diagonalUp="false" diagonalDown="false">
      <left/>
      <right/>
      <top/>
      <bottom style="medium">
        <color rgb="FF3A3A3A"/>
      </bottom>
      <diagonal/>
    </border>
    <border diagonalUp="false" diagonalDown="false">
      <left/>
      <right/>
      <top/>
      <bottom style="medium">
        <color rgb="FF1F4A9A"/>
      </bottom>
      <diagonal/>
    </border>
    <border diagonalUp="false" diagonalDown="false">
      <left/>
      <right/>
      <top/>
      <bottom style="medium">
        <color rgb="FF8A5A00"/>
      </bottom>
      <diagonal/>
    </border>
    <border diagonalUp="false" diagonalDown="false">
      <left/>
      <right/>
      <top/>
      <bottom style="medium">
        <color rgb="FF5A5A5A"/>
      </bottom>
      <diagonal/>
    </border>
    <border diagonalUp="false" diagonalDown="false">
      <left/>
      <right/>
      <top/>
      <bottom style="medium">
        <color rgb="FF5A3E9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3" fillId="7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5" fillId="9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10" borderId="0" xfId="0" applyFont="true" applyBorder="false" applyAlignment="true" applyProtection="false">
      <alignment horizontal="general" vertical="bottom" textRotation="0" wrapText="true" indent="1" shrinkToFit="false"/>
      <protection locked="true" hidden="false"/>
    </xf>
    <xf numFmtId="164" fontId="18" fillId="1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5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23" fillId="4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24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5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27" fillId="4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28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29" fillId="6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30" fillId="7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31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2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3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4" fillId="3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35" fillId="6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36" fillId="7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37" fillId="2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38" fillId="9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39" fillId="8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6" fontId="4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41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2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3" fillId="2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44" fillId="9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45" fillId="8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38" fillId="1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46" fillId="1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6" fillId="1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38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3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7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8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4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1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2" fillId="1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2" fillId="15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2" fillId="1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3" fillId="1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3" fillId="15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4" fillId="1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6" fillId="1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6" fillId="15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6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56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2" fontId="5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56" fillId="1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6" fillId="1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56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6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17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2" fontId="1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7" fillId="1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17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7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15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8" fillId="1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5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4" fontId="17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1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5" fontId="17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7" fillId="1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7" fillId="18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3" fillId="1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6" fillId="1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56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6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56" fillId="1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7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7" fillId="1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7">
    <dxf>
      <fill>
        <patternFill patternType="solid">
          <fgColor rgb="FFF7F4EC"/>
          <bgColor rgb="FF000000"/>
        </patternFill>
      </fill>
    </dxf>
    <dxf>
      <fill>
        <patternFill patternType="solid">
          <fgColor rgb="FFFAF7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AAAAAA"/>
          <bgColor rgb="FF000000"/>
        </patternFill>
      </fill>
    </dxf>
    <dxf>
      <fill>
        <patternFill patternType="solid">
          <fgColor rgb="FFB0A898"/>
          <bgColor rgb="FF000000"/>
        </patternFill>
      </fill>
    </dxf>
    <dxf>
      <fill>
        <patternFill patternType="solid">
          <fgColor rgb="FFF4F4F2"/>
          <bgColor rgb="FF000000"/>
        </patternFill>
      </fill>
    </dxf>
    <dxf>
      <fill>
        <patternFill patternType="solid">
          <fgColor rgb="FFDFF2E6"/>
          <bgColor rgb="FF000000"/>
        </patternFill>
      </fill>
    </dxf>
    <dxf>
      <fill>
        <patternFill patternType="solid">
          <fgColor rgb="FFE0E7FF"/>
          <bgColor rgb="FF000000"/>
        </patternFill>
      </fill>
    </dxf>
    <dxf>
      <fill>
        <patternFill patternType="solid">
          <fgColor rgb="FFE3ECFB"/>
          <bgColor rgb="FF000000"/>
        </patternFill>
      </fill>
    </dxf>
    <dxf>
      <fill>
        <patternFill patternType="solid">
          <fgColor rgb="FFF1F1F1"/>
          <bgColor rgb="FF000000"/>
        </patternFill>
      </fill>
    </dxf>
    <dxf>
      <fill>
        <patternFill patternType="solid">
          <fgColor rgb="FFFBE4E1"/>
          <bgColor rgb="FF000000"/>
        </patternFill>
      </fill>
    </dxf>
    <dxf>
      <fill>
        <patternFill patternType="solid">
          <fgColor rgb="FFFDF1D8"/>
          <bgColor rgb="FF000000"/>
        </patternFill>
      </fill>
    </dxf>
    <dxf>
      <fill>
        <patternFill patternType="solid">
          <fgColor rgb="FFFFE4CC"/>
          <bgColor rgb="FF000000"/>
        </patternFill>
      </fill>
    </dxf>
    <dxf>
      <fill>
        <patternFill patternType="solid">
          <fgColor rgb="FF1E6B3C"/>
          <bgColor rgb="FF000000"/>
        </patternFill>
      </fill>
    </dxf>
    <dxf>
      <fill>
        <patternFill patternType="solid">
          <fgColor rgb="FF1F4A9A"/>
          <bgColor rgb="FF000000"/>
        </patternFill>
      </fill>
    </dxf>
    <dxf>
      <fill>
        <patternFill patternType="solid">
          <fgColor rgb="FF3730A3"/>
          <bgColor rgb="FF000000"/>
        </patternFill>
      </fill>
    </dxf>
    <dxf>
      <fill>
        <patternFill patternType="solid">
          <fgColor rgb="FF8A5A00"/>
          <bgColor rgb="FF000000"/>
        </patternFill>
      </fill>
    </dxf>
    <dxf>
      <fill>
        <patternFill patternType="solid">
          <fgColor rgb="FF9A3412"/>
          <bgColor rgb="FF000000"/>
        </patternFill>
      </fill>
    </dxf>
    <dxf>
      <fill>
        <patternFill patternType="solid">
          <fgColor rgb="FFA4281B"/>
          <bgColor rgb="FF000000"/>
        </patternFill>
      </fill>
    </dxf>
    <dxf>
      <fill>
        <patternFill patternType="solid">
          <fgColor rgb="FFB0B0B0"/>
          <bgColor rgb="FF000000"/>
        </patternFill>
      </fill>
    </dxf>
    <dxf>
      <fill>
        <patternFill patternType="solid">
          <fgColor rgb="FF5A5A5A"/>
          <bgColor rgb="FF000000"/>
        </patternFill>
      </fill>
    </dxf>
    <dxf>
      <font>
        <color rgb="FFAAAAAA"/>
      </font>
      <fill>
        <patternFill>
          <bgColor rgb="FFFAF7F0"/>
        </patternFill>
      </fill>
    </dxf>
    <dxf>
      <font>
        <color rgb="FFAAAAAA"/>
      </font>
    </dxf>
    <dxf>
      <fill>
        <patternFill>
          <bgColor rgb="FFFAF7F0"/>
        </patternFill>
      </fill>
    </dxf>
    <dxf>
      <font>
        <color rgb="FFA4281B"/>
      </font>
      <fill>
        <patternFill>
          <bgColor rgb="FFFAF7F0"/>
        </patternFill>
      </fill>
    </dxf>
    <dxf>
      <font>
        <color rgb="FFA4281B"/>
      </font>
    </dxf>
    <dxf>
      <font>
        <b val="1"/>
        <color rgb="FF3730A3"/>
      </font>
      <fill>
        <patternFill>
          <bgColor rgb="FFE0E7FF"/>
        </patternFill>
      </fill>
    </dxf>
    <dxf>
      <font>
        <b val="1"/>
        <color rgb="FF1F4A9A"/>
      </font>
      <fill>
        <patternFill>
          <bgColor rgb="FFE3ECFB"/>
        </patternFill>
      </fill>
    </dxf>
    <dxf>
      <font>
        <b val="1"/>
        <color rgb="FF9A3412"/>
      </font>
      <fill>
        <patternFill>
          <bgColor rgb="FFFFE4CC"/>
        </patternFill>
      </fill>
    </dxf>
    <dxf>
      <font>
        <b val="1"/>
        <color rgb="FF8A5A00"/>
      </font>
      <fill>
        <patternFill>
          <bgColor rgb="FFFDF1D8"/>
        </patternFill>
      </fill>
    </dxf>
    <dxf>
      <font>
        <b val="1"/>
        <color rgb="FFA4281B"/>
      </font>
      <fill>
        <patternFill>
          <bgColor rgb="FFFBE4E1"/>
        </patternFill>
      </fill>
    </dxf>
    <dxf>
      <font>
        <b val="1"/>
        <color rgb="FF1E6B3C"/>
      </font>
      <fill>
        <patternFill>
          <bgColor rgb="FFDFF2E6"/>
        </patternFill>
      </fill>
    </dxf>
    <dxf>
      <font>
        <b val="1"/>
        <color rgb="FFB0B0B0"/>
      </font>
      <fill>
        <patternFill>
          <bgColor rgb="FFF1F1F1"/>
        </patternFill>
      </fill>
    </dxf>
    <dxf>
      <font>
        <color rgb="FF9A3412"/>
      </font>
    </dxf>
    <dxf>
      <font>
        <b val="1"/>
        <color rgb="FFA4281B"/>
      </font>
    </dxf>
    <dxf>
      <font>
        <b val="1"/>
        <color rgb="FF8A5A00"/>
      </font>
    </dxf>
  </dxfs>
  <colors>
    <indexedColors>
      <rgbColor rgb="FF000000"/>
      <rgbColor rgb="FFFFFFFF"/>
      <rgbColor rgb="FFFF0000"/>
      <rgbColor rgb="FF00FF00"/>
      <rgbColor rgb="FF0000FF"/>
      <rgbColor rgb="FFF3EEE2"/>
      <rgbColor rgb="FFFF00FF"/>
      <rgbColor rgb="FF00FFFF"/>
      <rgbColor rgb="FF800000"/>
      <rgbColor rgb="FF1E6B3C"/>
      <rgbColor rgb="FF000080"/>
      <rgbColor rgb="FF8A5A00"/>
      <rgbColor rgb="FF800080"/>
      <rgbColor rgb="FF008080"/>
      <rgbColor rgb="FFBDBDBD"/>
      <rgbColor rgb="FF8A8A8A"/>
      <rgbColor rgb="FFAAAAAA"/>
      <rgbColor rgb="FFA4281B"/>
      <rgbColor rgb="FFFDF1D8"/>
      <rgbColor rgb="FFDFF2E6"/>
      <rgbColor rgb="FF660066"/>
      <rgbColor rgb="FFF4F4F2"/>
      <rgbColor rgb="FF0066CC"/>
      <rgbColor rgb="FFCFCFCF"/>
      <rgbColor rgb="FF000080"/>
      <rgbColor rgb="FFFF00FF"/>
      <rgbColor rgb="FFF7F4EC"/>
      <rgbColor rgb="FF00FFFF"/>
      <rgbColor rgb="FF800080"/>
      <rgbColor rgb="FF800000"/>
      <rgbColor rgb="FF008080"/>
      <rgbColor rgb="FF0000FF"/>
      <rgbColor rgb="FF00CCFF"/>
      <rgbColor rgb="FFE3ECFB"/>
      <rgbColor rgb="FFF1F1F1"/>
      <rgbColor rgb="FFFFE4CC"/>
      <rgbColor rgb="FFE0E7FF"/>
      <rgbColor rgb="FFE9E1D0"/>
      <rgbColor rgb="FFB0B0B0"/>
      <rgbColor rgb="FFE8C98A"/>
      <rgbColor rgb="FF3366FF"/>
      <rgbColor rgb="FF33CCCC"/>
      <rgbColor rgb="FFFAF7F0"/>
      <rgbColor rgb="FFFBE4E1"/>
      <rgbColor rgb="FFFF9900"/>
      <rgbColor rgb="FFFF6600"/>
      <rgbColor rgb="FF5A5A5A"/>
      <rgbColor rgb="FFB0A898"/>
      <rgbColor rgb="FF1F4A9A"/>
      <rgbColor rgb="FF339966"/>
      <rgbColor rgb="FF003300"/>
      <rgbColor rgb="FF1A1A1A"/>
      <rgbColor rgb="FF9A3412"/>
      <rgbColor rgb="FF5A3E96"/>
      <rgbColor rgb="FF3730A3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47520</xdr:colOff>
      <xdr:row>0</xdr:row>
      <xdr:rowOff>133200</xdr:rowOff>
    </xdr:from>
    <xdr:to>
      <xdr:col>1</xdr:col>
      <xdr:colOff>390240</xdr:colOff>
      <xdr:row>0</xdr:row>
      <xdr:rowOff>475920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8840" y="13320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47520</xdr:colOff>
      <xdr:row>0</xdr:row>
      <xdr:rowOff>133200</xdr:rowOff>
    </xdr:from>
    <xdr:to>
      <xdr:col>0</xdr:col>
      <xdr:colOff>390240</xdr:colOff>
      <xdr:row>0</xdr:row>
      <xdr:rowOff>475920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47520" y="13320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0</xdr:row>
      <xdr:rowOff>104760</xdr:rowOff>
    </xdr:from>
    <xdr:to>
      <xdr:col>0</xdr:col>
      <xdr:colOff>361800</xdr:colOff>
      <xdr:row>0</xdr:row>
      <xdr:rowOff>447480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9080" y="10476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47520</xdr:colOff>
      <xdr:row>0</xdr:row>
      <xdr:rowOff>104760</xdr:rowOff>
    </xdr:from>
    <xdr:to>
      <xdr:col>0</xdr:col>
      <xdr:colOff>390240</xdr:colOff>
      <xdr:row>0</xdr:row>
      <xdr:rowOff>447480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47520" y="10476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66600</xdr:colOff>
      <xdr:row>0</xdr:row>
      <xdr:rowOff>95400</xdr:rowOff>
    </xdr:from>
    <xdr:to>
      <xdr:col>0</xdr:col>
      <xdr:colOff>371160</xdr:colOff>
      <xdr:row>0</xdr:row>
      <xdr:rowOff>399960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66600" y="95400"/>
          <a:ext cx="304560" cy="304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hola@pathing.app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athing.app/?desde=plantilla-proveedores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pathing.app/?desde=plantilla-proveedores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pathing.app/?desde=plantilla-proveedores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pathing.app/?desde=plantilla-proveedores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6B3C"/>
    <pageSetUpPr fitToPage="true"/>
  </sheetPr>
  <dimension ref="A1:C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100"/>
  </cols>
  <sheetData>
    <row r="1" customFormat="false" ht="48" hidden="false" customHeight="true" outlineLevel="0" collapsed="false">
      <c r="A1" s="1"/>
      <c r="B1" s="1"/>
      <c r="C1" s="2" t="s">
        <v>0</v>
      </c>
    </row>
    <row r="2" customFormat="false" ht="15" hidden="false" customHeight="false" outlineLevel="0" collapsed="false">
      <c r="B2" s="3" t="s">
        <v>1</v>
      </c>
    </row>
    <row r="4" customFormat="false" ht="21.75" hidden="false" customHeight="true" outlineLevel="0" collapsed="false">
      <c r="B4" s="4" t="n">
        <v>1</v>
      </c>
      <c r="C4" s="5" t="s">
        <v>2</v>
      </c>
    </row>
    <row r="5" customFormat="false" ht="30" hidden="false" customHeight="true" outlineLevel="0" collapsed="false">
      <c r="B5" s="4"/>
      <c r="C5" s="6" t="s">
        <v>3</v>
      </c>
    </row>
    <row r="7" customFormat="false" ht="21.75" hidden="false" customHeight="true" outlineLevel="0" collapsed="false">
      <c r="B7" s="4" t="n">
        <v>2</v>
      </c>
      <c r="C7" s="5" t="s">
        <v>4</v>
      </c>
    </row>
    <row r="8" customFormat="false" ht="30" hidden="false" customHeight="true" outlineLevel="0" collapsed="false">
      <c r="B8" s="4"/>
      <c r="C8" s="6" t="s">
        <v>5</v>
      </c>
    </row>
    <row r="10" customFormat="false" ht="21.75" hidden="false" customHeight="true" outlineLevel="0" collapsed="false">
      <c r="B10" s="4" t="n">
        <v>3</v>
      </c>
      <c r="C10" s="5" t="s">
        <v>6</v>
      </c>
    </row>
    <row r="11" customFormat="false" ht="30" hidden="false" customHeight="true" outlineLevel="0" collapsed="false">
      <c r="B11" s="4"/>
      <c r="C11" s="6" t="s">
        <v>7</v>
      </c>
    </row>
    <row r="13" customFormat="false" ht="21.75" hidden="false" customHeight="true" outlineLevel="0" collapsed="false">
      <c r="B13" s="4" t="n">
        <v>4</v>
      </c>
      <c r="C13" s="5" t="s">
        <v>8</v>
      </c>
    </row>
    <row r="14" customFormat="false" ht="30" hidden="false" customHeight="true" outlineLevel="0" collapsed="false">
      <c r="B14" s="4"/>
      <c r="C14" s="6" t="s">
        <v>9</v>
      </c>
    </row>
    <row r="16" customFormat="false" ht="21.75" hidden="false" customHeight="true" outlineLevel="0" collapsed="false">
      <c r="B16" s="4" t="n">
        <v>5</v>
      </c>
      <c r="C16" s="5" t="s">
        <v>10</v>
      </c>
    </row>
    <row r="17" customFormat="false" ht="30" hidden="false" customHeight="true" outlineLevel="0" collapsed="false">
      <c r="B17" s="4"/>
      <c r="C17" s="6" t="s">
        <v>11</v>
      </c>
    </row>
    <row r="19" customFormat="false" ht="15" hidden="false" customHeight="false" outlineLevel="0" collapsed="false">
      <c r="C19" s="7" t="s">
        <v>12</v>
      </c>
    </row>
    <row r="20" customFormat="false" ht="19.5" hidden="false" customHeight="true" outlineLevel="0" collapsed="false">
      <c r="C20" s="8" t="s">
        <v>13</v>
      </c>
    </row>
    <row r="21" customFormat="false" ht="19.5" hidden="false" customHeight="true" outlineLevel="0" collapsed="false">
      <c r="C21" s="9" t="s">
        <v>14</v>
      </c>
    </row>
    <row r="22" customFormat="false" ht="19.5" hidden="false" customHeight="true" outlineLevel="0" collapsed="false">
      <c r="C22" s="10" t="s">
        <v>15</v>
      </c>
    </row>
    <row r="23" customFormat="false" ht="19.5" hidden="false" customHeight="true" outlineLevel="0" collapsed="false">
      <c r="C23" s="11" t="s">
        <v>16</v>
      </c>
    </row>
    <row r="24" customFormat="false" ht="19.5" hidden="false" customHeight="true" outlineLevel="0" collapsed="false">
      <c r="C24" s="12" t="s">
        <v>17</v>
      </c>
    </row>
    <row r="25" customFormat="false" ht="19.5" hidden="false" customHeight="true" outlineLevel="0" collapsed="false">
      <c r="C25" s="13" t="s">
        <v>18</v>
      </c>
    </row>
    <row r="26" customFormat="false" ht="19.5" hidden="false" customHeight="true" outlineLevel="0" collapsed="false">
      <c r="C26" s="14" t="s">
        <v>19</v>
      </c>
    </row>
    <row r="27" customFormat="false" ht="15" hidden="false" customHeight="false" outlineLevel="0" collapsed="false">
      <c r="C27" s="15" t="s">
        <v>20</v>
      </c>
    </row>
    <row r="29" customFormat="false" ht="15" hidden="false" customHeight="false" outlineLevel="0" collapsed="false">
      <c r="C29" s="7" t="s">
        <v>21</v>
      </c>
    </row>
    <row r="30" customFormat="false" ht="15" hidden="false" customHeight="false" outlineLevel="0" collapsed="false">
      <c r="C30" s="16" t="s">
        <v>22</v>
      </c>
    </row>
    <row r="31" customFormat="false" ht="15" hidden="false" customHeight="false" outlineLevel="0" collapsed="false">
      <c r="C31" s="16" t="s">
        <v>23</v>
      </c>
    </row>
    <row r="32" customFormat="false" ht="15" hidden="false" customHeight="false" outlineLevel="0" collapsed="false">
      <c r="C32" s="16" t="s">
        <v>24</v>
      </c>
    </row>
    <row r="33" customFormat="false" ht="15" hidden="false" customHeight="false" outlineLevel="0" collapsed="false">
      <c r="C33" s="16" t="s">
        <v>25</v>
      </c>
    </row>
    <row r="35" customFormat="false" ht="39.75" hidden="false" customHeight="true" outlineLevel="0" collapsed="false">
      <c r="B35" s="17"/>
      <c r="C35" s="18" t="s">
        <v>26</v>
      </c>
    </row>
    <row r="36" customFormat="false" ht="24" hidden="false" customHeight="true" outlineLevel="0" collapsed="false">
      <c r="B36" s="17"/>
      <c r="C36" s="19" t="s">
        <v>27</v>
      </c>
    </row>
    <row r="38" customFormat="false" ht="15" hidden="false" customHeight="false" outlineLevel="0" collapsed="false">
      <c r="C38" s="20" t="s">
        <v>28</v>
      </c>
    </row>
  </sheetData>
  <mergeCells count="5">
    <mergeCell ref="B4:B5"/>
    <mergeCell ref="B7:B8"/>
    <mergeCell ref="B10:B11"/>
    <mergeCell ref="B13:B14"/>
    <mergeCell ref="B16:B17"/>
  </mergeCells>
  <hyperlinks>
    <hyperlink ref="C36" r:id="rId1" display="Escríbenos a hola@pathing.app y lo vemos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5A00"/>
    <pageSetUpPr fitToPage="true"/>
  </sheetPr>
  <dimension ref="A1:L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4" min="2" style="0" width="15"/>
    <col collapsed="false" customWidth="true" hidden="false" outlineLevel="0" max="5" min="5" style="0" width="3"/>
    <col collapsed="false" customWidth="true" hidden="false" outlineLevel="0" max="8" min="6" style="0" width="15"/>
    <col collapsed="false" customWidth="true" hidden="false" outlineLevel="0" max="9" min="9" style="0" width="3"/>
    <col collapsed="false" customWidth="true" hidden="false" outlineLevel="0" max="12" min="10" style="0" width="15"/>
  </cols>
  <sheetData>
    <row r="1" customFormat="false" ht="48" hidden="false" customHeight="true" outlineLevel="0" collapsed="false">
      <c r="A1" s="1"/>
      <c r="B1" s="21" t="s">
        <v>29</v>
      </c>
      <c r="C1" s="1"/>
      <c r="D1" s="22" t="str">
        <f aca="true">TEXT(TODAY(),"dd/mm/yyyy")</f>
        <v>16/10/2026</v>
      </c>
      <c r="E1" s="1"/>
      <c r="F1" s="1"/>
      <c r="G1" s="1"/>
      <c r="H1" s="23" t="s">
        <v>30</v>
      </c>
      <c r="I1" s="23"/>
      <c r="J1" s="23"/>
      <c r="K1" s="23"/>
      <c r="L1" s="23"/>
    </row>
    <row r="2" customFormat="false" ht="15" hidden="false" customHeight="false" outlineLevel="0" collapsed="false">
      <c r="B2" s="15" t="s">
        <v>31</v>
      </c>
    </row>
    <row r="4" customFormat="false" ht="18.75" hidden="false" customHeight="true" outlineLevel="0" collapsed="false">
      <c r="B4" s="24" t="s">
        <v>32</v>
      </c>
      <c r="C4" s="24"/>
      <c r="D4" s="24"/>
      <c r="F4" s="25" t="s">
        <v>33</v>
      </c>
      <c r="G4" s="25"/>
      <c r="H4" s="25"/>
      <c r="J4" s="25" t="s">
        <v>34</v>
      </c>
      <c r="K4" s="25"/>
      <c r="L4" s="25"/>
    </row>
    <row r="5" customFormat="false" ht="18.75" hidden="false" customHeight="true" outlineLevel="0" collapsed="false">
      <c r="B5" s="26" t="n">
        <f aca="false">COUNTIF(Pedidos!$K$5:$K$304,"🐢 Retrasado")</f>
        <v>2</v>
      </c>
      <c r="C5" s="26"/>
      <c r="D5" s="26"/>
      <c r="F5" s="27" t="n">
        <f aca="true">COUNTIFS(Pedidos!$K$5:$K$304,"📦 Pedido (esperando)",Pedidos!$N$5:$N$304,"&gt;="&amp;TODAY(),Pedidos!$N$5:$N$304,"&lt;="&amp;TODAY()+Pedidos!$L$2)</f>
        <v>2</v>
      </c>
      <c r="G5" s="27"/>
      <c r="H5" s="27"/>
      <c r="J5" s="27" t="n">
        <f aca="false">COUNTIF(Pedidos!$K$5:$K$304,"📦 Pedido (esperando)")+COUNTIF(Pedidos!$K$5:$K$304,"🐢 Retrasado")+COUNTIF(Pedidos!$K$5:$K$304,"🧩 Llegó incompleto")</f>
        <v>5</v>
      </c>
      <c r="K5" s="27"/>
      <c r="L5" s="27"/>
    </row>
    <row r="6" customFormat="false" ht="18.75" hidden="false" customHeight="true" outlineLevel="0" collapsed="false">
      <c r="B6" s="26"/>
      <c r="C6" s="26"/>
      <c r="D6" s="26"/>
      <c r="F6" s="27"/>
      <c r="G6" s="27"/>
      <c r="H6" s="27"/>
      <c r="J6" s="27"/>
      <c r="K6" s="27"/>
      <c r="L6" s="27"/>
    </row>
    <row r="7" customFormat="false" ht="18.75" hidden="false" customHeight="true" outlineLevel="0" collapsed="false">
      <c r="B7" s="26"/>
      <c r="C7" s="26"/>
      <c r="D7" s="26"/>
      <c r="F7" s="27"/>
      <c r="G7" s="27"/>
      <c r="H7" s="27"/>
      <c r="J7" s="27"/>
      <c r="K7" s="27"/>
      <c r="L7" s="27"/>
    </row>
    <row r="8" customFormat="false" ht="18.75" hidden="false" customHeight="true" outlineLevel="0" collapsed="false">
      <c r="B8" s="28" t="s">
        <v>35</v>
      </c>
      <c r="C8" s="28"/>
      <c r="D8" s="28"/>
      <c r="F8" s="29" t="s">
        <v>36</v>
      </c>
      <c r="G8" s="29"/>
      <c r="H8" s="29"/>
      <c r="J8" s="29" t="s">
        <v>37</v>
      </c>
      <c r="K8" s="29"/>
      <c r="L8" s="29"/>
    </row>
    <row r="9" customFormat="false" ht="12" hidden="false" customHeight="true" outlineLevel="0" collapsed="false"/>
    <row r="10" customFormat="false" ht="18.75" hidden="false" customHeight="true" outlineLevel="0" collapsed="false">
      <c r="B10" s="30" t="s">
        <v>38</v>
      </c>
      <c r="C10" s="30"/>
      <c r="D10" s="30"/>
      <c r="F10" s="31" t="s">
        <v>39</v>
      </c>
      <c r="G10" s="31"/>
      <c r="H10" s="31"/>
      <c r="J10" s="32" t="s">
        <v>40</v>
      </c>
      <c r="K10" s="32"/>
      <c r="L10" s="32"/>
    </row>
    <row r="11" customFormat="false" ht="18.75" hidden="false" customHeight="true" outlineLevel="0" collapsed="false">
      <c r="B11" s="33" t="n">
        <f aca="false">COUNTIF(Pedidos!$K$5:$K$304,"🛒 Por pedir")</f>
        <v>1</v>
      </c>
      <c r="C11" s="33"/>
      <c r="D11" s="33"/>
      <c r="F11" s="34" t="n">
        <f aca="false">COUNTIF(Pedidos!$K$5:$K$304,"🧩 Llegó incompleto")</f>
        <v>1</v>
      </c>
      <c r="G11" s="34"/>
      <c r="H11" s="34"/>
      <c r="J11" s="35" t="n">
        <f aca="false">COUNTIF(Pedidos!$K$5:$K$304,"⚠️ Llegó con incidencia")</f>
        <v>1</v>
      </c>
      <c r="K11" s="35"/>
      <c r="L11" s="35"/>
    </row>
    <row r="12" customFormat="false" ht="18.75" hidden="false" customHeight="true" outlineLevel="0" collapsed="false">
      <c r="B12" s="33"/>
      <c r="C12" s="33"/>
      <c r="D12" s="33"/>
      <c r="F12" s="34"/>
      <c r="G12" s="34"/>
      <c r="H12" s="34"/>
      <c r="J12" s="35"/>
      <c r="K12" s="35"/>
      <c r="L12" s="35"/>
    </row>
    <row r="13" customFormat="false" ht="18.75" hidden="false" customHeight="true" outlineLevel="0" collapsed="false">
      <c r="B13" s="33"/>
      <c r="C13" s="33"/>
      <c r="D13" s="33"/>
      <c r="F13" s="34"/>
      <c r="G13" s="34"/>
      <c r="H13" s="34"/>
      <c r="J13" s="35"/>
      <c r="K13" s="35"/>
      <c r="L13" s="35"/>
    </row>
    <row r="14" customFormat="false" ht="18.75" hidden="false" customHeight="true" outlineLevel="0" collapsed="false">
      <c r="B14" s="36" t="s">
        <v>41</v>
      </c>
      <c r="C14" s="36"/>
      <c r="D14" s="36"/>
      <c r="F14" s="37" t="s">
        <v>42</v>
      </c>
      <c r="G14" s="37"/>
      <c r="H14" s="37"/>
      <c r="J14" s="38" t="s">
        <v>43</v>
      </c>
      <c r="K14" s="38"/>
      <c r="L14" s="38"/>
    </row>
    <row r="15" customFormat="false" ht="12" hidden="false" customHeight="true" outlineLevel="0" collapsed="false"/>
    <row r="16" customFormat="false" ht="18.75" hidden="false" customHeight="true" outlineLevel="0" collapsed="false">
      <c r="B16" s="39" t="s">
        <v>44</v>
      </c>
      <c r="C16" s="39"/>
      <c r="D16" s="39"/>
      <c r="F16" s="40" t="s">
        <v>45</v>
      </c>
      <c r="G16" s="40"/>
      <c r="H16" s="40"/>
      <c r="J16" s="41" t="s">
        <v>46</v>
      </c>
      <c r="K16" s="41"/>
      <c r="L16" s="41"/>
    </row>
    <row r="17" customFormat="false" ht="18.75" hidden="false" customHeight="true" outlineLevel="0" collapsed="false">
      <c r="B17" s="42" t="n">
        <f aca="false">SUM(Pedidos!$U$5:$U$304)</f>
        <v>151</v>
      </c>
      <c r="C17" s="42"/>
      <c r="D17" s="42"/>
      <c r="F17" s="43" t="n">
        <f aca="true">SUMIFS(Pedidos!$I$5:$I$304,Pedidos!$C$5:$C$304,"&gt;="&amp;DATE(YEAR(TODAY()),MONTH(TODAY()),1),Pedidos!$K$5:$K$304,"&lt;&gt;✖️ Anulado")</f>
        <v>440.9</v>
      </c>
      <c r="G17" s="43"/>
      <c r="H17" s="43"/>
      <c r="J17" s="44" t="n">
        <f aca="false">SUMPRODUCT(((Pedidos!$K$5:$K$304="🛒 Por pedir")+(Pedidos!$K$5:$K$304="📦 Pedido (esperando)")+(Pedidos!$K$5:$K$304="🐢 Retrasado")+(Pedidos!$K$5:$K$304="🧩 Llegó incompleto"))*(Pedidos!$J$5:$J$304&lt;&gt;"")*(Pedidos!$J$5:$J$304&lt;&gt;"Stock"))</f>
        <v>2</v>
      </c>
      <c r="K17" s="44"/>
      <c r="L17" s="44"/>
    </row>
    <row r="18" customFormat="false" ht="18.75" hidden="false" customHeight="true" outlineLevel="0" collapsed="false">
      <c r="B18" s="42"/>
      <c r="C18" s="42"/>
      <c r="D18" s="42"/>
      <c r="F18" s="43"/>
      <c r="G18" s="43"/>
      <c r="H18" s="43"/>
      <c r="J18" s="44"/>
      <c r="K18" s="44"/>
      <c r="L18" s="44"/>
    </row>
    <row r="19" customFormat="false" ht="18.75" hidden="false" customHeight="true" outlineLevel="0" collapsed="false">
      <c r="B19" s="42"/>
      <c r="C19" s="42"/>
      <c r="D19" s="42"/>
      <c r="F19" s="43"/>
      <c r="G19" s="43"/>
      <c r="H19" s="43"/>
      <c r="J19" s="44"/>
      <c r="K19" s="44"/>
      <c r="L19" s="44"/>
    </row>
    <row r="20" customFormat="false" ht="18.75" hidden="false" customHeight="true" outlineLevel="0" collapsed="false">
      <c r="B20" s="45" t="s">
        <v>47</v>
      </c>
      <c r="C20" s="45"/>
      <c r="D20" s="45"/>
      <c r="F20" s="46" t="s">
        <v>48</v>
      </c>
      <c r="G20" s="46"/>
      <c r="H20" s="46"/>
      <c r="J20" s="47" t="s">
        <v>49</v>
      </c>
      <c r="K20" s="47"/>
      <c r="L20" s="47"/>
    </row>
    <row r="21" customFormat="false" ht="15.75" hidden="false" customHeight="true" outlineLevel="0" collapsed="false"/>
    <row r="22" customFormat="false" ht="25.5" hidden="false" customHeight="true" outlineLevel="0" collapsed="false">
      <c r="B22" s="48" t="s">
        <v>50</v>
      </c>
      <c r="C22" s="48"/>
      <c r="D22" s="48"/>
      <c r="E22" s="48"/>
      <c r="F22" s="48"/>
      <c r="G22" s="48"/>
      <c r="H22" s="49" t="s">
        <v>51</v>
      </c>
      <c r="I22" s="49"/>
      <c r="J22" s="50" t="s">
        <v>52</v>
      </c>
      <c r="K22" s="50"/>
      <c r="L22" s="50"/>
    </row>
    <row r="23" customFormat="false" ht="21.75" hidden="false" customHeight="true" outlineLevel="0" collapsed="false">
      <c r="B23" s="51" t="str">
        <f aca="false">IFERROR("1.  "&amp;INDEX('Por proveedor'!$B$5:$B$60,MATCH(LARGE('Por proveedor'!$L$5:$L$60,1),'Por proveedor'!$L$5:$L$60,0)),IF(1=1,"Aún no has pedido nada este mes.",""))</f>
        <v>1.  Distribuciones Alfa</v>
      </c>
      <c r="C23" s="51"/>
      <c r="D23" s="51"/>
      <c r="E23" s="51"/>
      <c r="F23" s="51"/>
      <c r="G23" s="51"/>
      <c r="H23" s="52" t="n">
        <f aca="false">IFERROR(INDEX('Por proveedor'!$G$5:$G$60,MATCH(LARGE('Por proveedor'!$L$5:$L$60,1),'Por proveedor'!$L$5:$L$60,0)),"")</f>
        <v>134.5</v>
      </c>
      <c r="I23" s="52"/>
      <c r="J23" s="53" t="n">
        <f aca="false">IFERROR(INDEX('Por proveedor'!$F$5:$F$60,MATCH(LARGE('Por proveedor'!$L$5:$L$60,1),'Por proveedor'!$L$5:$L$60,0)),"")</f>
        <v>46</v>
      </c>
      <c r="K23" s="53"/>
      <c r="L23" s="53"/>
    </row>
    <row r="24" customFormat="false" ht="21.75" hidden="false" customHeight="true" outlineLevel="0" collapsed="false">
      <c r="B24" s="54" t="str">
        <f aca="false">IFERROR("2.  "&amp;INDEX('Por proveedor'!$B$5:$B$60,MATCH(LARGE('Por proveedor'!$L$5:$L$60,2),'Por proveedor'!$L$5:$L$60,0)),IF(2=1,"Aún no has pedido nada este mes.",""))</f>
        <v>2.  Mayorista Gamma</v>
      </c>
      <c r="C24" s="54"/>
      <c r="D24" s="54"/>
      <c r="E24" s="54"/>
      <c r="F24" s="54"/>
      <c r="G24" s="54"/>
      <c r="H24" s="52" t="n">
        <f aca="false">IFERROR(INDEX('Por proveedor'!$G$5:$G$60,MATCH(LARGE('Por proveedor'!$L$5:$L$60,2),'Por proveedor'!$L$5:$L$60,0)),"")</f>
        <v>128</v>
      </c>
      <c r="I24" s="52"/>
      <c r="J24" s="53" t="n">
        <f aca="false">IFERROR(INDEX('Por proveedor'!$F$5:$F$60,MATCH(LARGE('Por proveedor'!$L$5:$L$60,2),'Por proveedor'!$L$5:$L$60,0)),"")</f>
        <v>0</v>
      </c>
      <c r="K24" s="53"/>
      <c r="L24" s="53"/>
    </row>
    <row r="25" customFormat="false" ht="21.75" hidden="false" customHeight="true" outlineLevel="0" collapsed="false">
      <c r="B25" s="54" t="str">
        <f aca="false">IFERROR("3.  "&amp;INDEX('Por proveedor'!$B$5:$B$60,MATCH(LARGE('Por proveedor'!$L$5:$L$60,3),'Por proveedor'!$L$5:$L$60,0)),IF(3=1,"Aún no has pedido nada este mes.",""))</f>
        <v>3.  Importaciones Omega</v>
      </c>
      <c r="C25" s="54"/>
      <c r="D25" s="54"/>
      <c r="E25" s="54"/>
      <c r="F25" s="54"/>
      <c r="G25" s="54"/>
      <c r="H25" s="52" t="n">
        <f aca="false">IFERROR(INDEX('Por proveedor'!$G$5:$G$60,MATCH(LARGE('Por proveedor'!$L$5:$L$60,3),'Por proveedor'!$L$5:$L$60,0)),"")</f>
        <v>113.4</v>
      </c>
      <c r="I25" s="52"/>
      <c r="J25" s="53" t="n">
        <f aca="false">IFERROR(INDEX('Por proveedor'!$F$5:$F$60,MATCH(LARGE('Por proveedor'!$L$5:$L$60,3),'Por proveedor'!$L$5:$L$60,0)),"")</f>
        <v>66</v>
      </c>
      <c r="K25" s="53"/>
      <c r="L25" s="53"/>
    </row>
    <row r="26" customFormat="false" ht="21.75" hidden="false" customHeight="true" outlineLevel="0" collapsed="false">
      <c r="B26" s="54" t="str">
        <f aca="false">IFERROR("4.  "&amp;INDEX('Por proveedor'!$B$5:$B$60,MATCH(LARGE('Por proveedor'!$L$5:$L$60,4),'Por proveedor'!$L$5:$L$60,0)),IF(4=1,"Aún no has pedido nada este mes.",""))</f>
        <v>4.  Suministros Beta</v>
      </c>
      <c r="C26" s="54"/>
      <c r="D26" s="54"/>
      <c r="E26" s="54"/>
      <c r="F26" s="54"/>
      <c r="G26" s="54"/>
      <c r="H26" s="52" t="n">
        <f aca="false">IFERROR(INDEX('Por proveedor'!$G$5:$G$60,MATCH(LARGE('Por proveedor'!$L$5:$L$60,4),'Por proveedor'!$L$5:$L$60,0)),"")</f>
        <v>65</v>
      </c>
      <c r="I26" s="52"/>
      <c r="J26" s="53" t="n">
        <f aca="false">IFERROR(INDEX('Por proveedor'!$F$5:$F$60,MATCH(LARGE('Por proveedor'!$L$5:$L$60,4),'Por proveedor'!$L$5:$L$60,0)),"")</f>
        <v>39</v>
      </c>
      <c r="K26" s="53"/>
      <c r="L26" s="53"/>
    </row>
    <row r="27" customFormat="false" ht="21.75" hidden="false" customHeight="true" outlineLevel="0" collapsed="false">
      <c r="B27" s="54" t="str">
        <f aca="false">IFERROR("5.  "&amp;INDEX('Por proveedor'!$B$5:$B$60,MATCH(LARGE('Por proveedor'!$L$5:$L$60,5),'Por proveedor'!$L$5:$L$60,0)),IF(5=1,"Aún no has pedido nada este mes.",""))</f>
        <v/>
      </c>
      <c r="C27" s="54"/>
      <c r="D27" s="54"/>
      <c r="E27" s="54"/>
      <c r="F27" s="54"/>
      <c r="G27" s="54"/>
      <c r="H27" s="52" t="str">
        <f aca="false">IFERROR(INDEX('Por proveedor'!$G$5:$G$60,MATCH(LARGE('Por proveedor'!$L$5:$L$60,5),'Por proveedor'!$L$5:$L$60,0)),"")</f>
        <v/>
      </c>
      <c r="I27" s="52"/>
      <c r="J27" s="53" t="str">
        <f aca="false">IFERROR(INDEX('Por proveedor'!$F$5:$F$60,MATCH(LARGE('Por proveedor'!$L$5:$L$60,5),'Por proveedor'!$L$5:$L$60,0)),"")</f>
        <v/>
      </c>
      <c r="K27" s="53"/>
      <c r="L27" s="53"/>
    </row>
    <row r="28" customFormat="false" ht="15" hidden="false" customHeight="false" outlineLevel="0" collapsed="false">
      <c r="B28" s="15" t="s">
        <v>53</v>
      </c>
    </row>
  </sheetData>
  <mergeCells count="46">
    <mergeCell ref="H1:L1"/>
    <mergeCell ref="B4:D4"/>
    <mergeCell ref="F4:H4"/>
    <mergeCell ref="J4:L4"/>
    <mergeCell ref="B5:D7"/>
    <mergeCell ref="F5:H7"/>
    <mergeCell ref="J5:L7"/>
    <mergeCell ref="B8:D8"/>
    <mergeCell ref="F8:H8"/>
    <mergeCell ref="J8:L8"/>
    <mergeCell ref="B10:D10"/>
    <mergeCell ref="F10:H10"/>
    <mergeCell ref="J10:L10"/>
    <mergeCell ref="B11:D13"/>
    <mergeCell ref="F11:H13"/>
    <mergeCell ref="J11:L13"/>
    <mergeCell ref="B14:D14"/>
    <mergeCell ref="F14:H14"/>
    <mergeCell ref="J14:L14"/>
    <mergeCell ref="B16:D16"/>
    <mergeCell ref="F16:H16"/>
    <mergeCell ref="J16:L16"/>
    <mergeCell ref="B17:D19"/>
    <mergeCell ref="F17:H19"/>
    <mergeCell ref="J17:L19"/>
    <mergeCell ref="B20:D20"/>
    <mergeCell ref="F20:H20"/>
    <mergeCell ref="J20:L20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B25:G25"/>
    <mergeCell ref="H25:I25"/>
    <mergeCell ref="J25:L25"/>
    <mergeCell ref="B26:G26"/>
    <mergeCell ref="H26:I26"/>
    <mergeCell ref="J26:L26"/>
    <mergeCell ref="B27:G27"/>
    <mergeCell ref="H27:I27"/>
    <mergeCell ref="J27:L27"/>
  </mergeCells>
  <hyperlinks>
    <hyperlink ref="H1" r:id="rId1" display="Plantilla gratis de Pathing  ·  pathing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A"/>
    <pageSetUpPr fitToPage="true"/>
  </sheetPr>
  <dimension ref="A1:W3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G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19"/>
    <col collapsed="false" customWidth="true" hidden="false" outlineLevel="0" max="5" min="5" style="0" width="14"/>
    <col collapsed="false" customWidth="true" hidden="false" outlineLevel="0" max="6" min="6" style="0" width="28"/>
    <col collapsed="false" customWidth="true" hidden="false" outlineLevel="0" max="7" min="7" style="0" width="12"/>
    <col collapsed="false" customWidth="true" hidden="false" outlineLevel="0" max="10" min="8" style="0" width="14"/>
    <col collapsed="false" customWidth="true" hidden="false" outlineLevel="0" max="11" min="11" style="0" width="23"/>
    <col collapsed="false" customWidth="true" hidden="false" outlineLevel="0" max="12" min="12" style="0" width="12"/>
    <col collapsed="false" customWidth="true" hidden="false" outlineLevel="0" max="15" min="13" style="0" width="15"/>
    <col collapsed="false" customWidth="true" hidden="false" outlineLevel="0" max="16" min="16" style="0" width="13"/>
    <col collapsed="false" customWidth="true" hidden="false" outlineLevel="0" max="17" min="17" style="0" width="14"/>
    <col collapsed="false" customWidth="true" hidden="false" outlineLevel="0" max="18" min="18" style="0" width="30"/>
    <col collapsed="false" customWidth="true" hidden="false" outlineLevel="0" max="19" min="19" style="0" width="12"/>
    <col collapsed="false" customWidth="true" hidden="false" outlineLevel="0" max="20" min="20" style="0" width="15"/>
    <col collapsed="false" customWidth="true" hidden="false" outlineLevel="0" max="21" min="21" style="0" width="14"/>
    <col collapsed="false" customWidth="true" hidden="false" outlineLevel="0" max="22" min="22" style="0" width="12"/>
    <col collapsed="false" customWidth="true" hidden="false" outlineLevel="0" max="23" min="23" style="0" width="26"/>
  </cols>
  <sheetData>
    <row r="1" customFormat="false" ht="43.5" hidden="false" customHeight="true" outlineLevel="0" collapsed="false">
      <c r="A1" s="1"/>
      <c r="B1" s="55" t="s">
        <v>0</v>
      </c>
      <c r="C1" s="1"/>
      <c r="D1" s="1"/>
      <c r="E1" s="1"/>
      <c r="F1" s="22" t="s">
        <v>54</v>
      </c>
      <c r="G1" s="1"/>
      <c r="H1" s="1"/>
      <c r="I1" s="1"/>
      <c r="J1" s="1"/>
      <c r="K1" s="56" t="s">
        <v>30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25.5" hidden="false" customHeight="true" outlineLevel="0" collapsed="false">
      <c r="A2" s="17"/>
      <c r="B2" s="57" t="s">
        <v>55</v>
      </c>
      <c r="C2" s="17"/>
      <c r="D2" s="17"/>
      <c r="E2" s="17"/>
      <c r="F2" s="17"/>
      <c r="G2" s="17"/>
      <c r="H2" s="17"/>
      <c r="I2" s="17"/>
      <c r="J2" s="17"/>
      <c r="K2" s="58" t="s">
        <v>56</v>
      </c>
      <c r="L2" s="59" t="n">
        <v>7</v>
      </c>
      <c r="M2" s="60" t="s">
        <v>57</v>
      </c>
      <c r="N2" s="17"/>
      <c r="O2" s="17"/>
      <c r="P2" s="17"/>
      <c r="Q2" s="17"/>
      <c r="R2" s="17"/>
      <c r="S2" s="17"/>
      <c r="T2" s="17"/>
      <c r="U2" s="17"/>
      <c r="V2" s="17"/>
      <c r="W2" s="17"/>
    </row>
    <row r="3" customFormat="false" ht="18" hidden="false" customHeight="true" outlineLevel="0" collapsed="false">
      <c r="A3" s="61" t="s">
        <v>58</v>
      </c>
      <c r="B3" s="61"/>
      <c r="C3" s="61"/>
      <c r="D3" s="61"/>
      <c r="E3" s="61"/>
      <c r="F3" s="61"/>
      <c r="G3" s="61"/>
      <c r="H3" s="61"/>
      <c r="I3" s="61"/>
      <c r="J3" s="61"/>
      <c r="K3" s="62" t="s">
        <v>59</v>
      </c>
      <c r="L3" s="62"/>
      <c r="M3" s="63" t="s">
        <v>60</v>
      </c>
      <c r="N3" s="63"/>
      <c r="O3" s="63"/>
      <c r="P3" s="63"/>
      <c r="Q3" s="63"/>
      <c r="R3" s="63"/>
      <c r="S3" s="63"/>
      <c r="T3" s="64" t="s">
        <v>61</v>
      </c>
      <c r="U3" s="64"/>
      <c r="V3" s="65" t="s">
        <v>62</v>
      </c>
      <c r="W3" s="65"/>
    </row>
    <row r="4" customFormat="false" ht="33.75" hidden="false" customHeight="true" outlineLevel="0" collapsed="false">
      <c r="A4" s="66" t="s">
        <v>63</v>
      </c>
      <c r="B4" s="66" t="s">
        <v>64</v>
      </c>
      <c r="C4" s="66" t="s">
        <v>65</v>
      </c>
      <c r="D4" s="66" t="s">
        <v>66</v>
      </c>
      <c r="E4" s="67" t="s">
        <v>67</v>
      </c>
      <c r="F4" s="67" t="s">
        <v>68</v>
      </c>
      <c r="G4" s="66" t="s">
        <v>69</v>
      </c>
      <c r="H4" s="66" t="s">
        <v>70</v>
      </c>
      <c r="I4" s="66" t="s">
        <v>71</v>
      </c>
      <c r="J4" s="67" t="s">
        <v>4</v>
      </c>
      <c r="K4" s="68" t="s">
        <v>72</v>
      </c>
      <c r="L4" s="68" t="s">
        <v>73</v>
      </c>
      <c r="M4" s="69" t="s">
        <v>74</v>
      </c>
      <c r="N4" s="69" t="s">
        <v>75</v>
      </c>
      <c r="O4" s="69" t="s">
        <v>76</v>
      </c>
      <c r="P4" s="69" t="s">
        <v>77</v>
      </c>
      <c r="Q4" s="69" t="s">
        <v>78</v>
      </c>
      <c r="R4" s="70" t="s">
        <v>79</v>
      </c>
      <c r="S4" s="69" t="s">
        <v>80</v>
      </c>
      <c r="T4" s="71" t="s">
        <v>81</v>
      </c>
      <c r="U4" s="71" t="s">
        <v>82</v>
      </c>
      <c r="V4" s="72" t="s">
        <v>83</v>
      </c>
      <c r="W4" s="73" t="s">
        <v>84</v>
      </c>
    </row>
    <row r="5" customFormat="false" ht="21" hidden="false" customHeight="true" outlineLevel="0" collapsed="false">
      <c r="A5" s="74" t="n">
        <v>1</v>
      </c>
      <c r="B5" s="75"/>
      <c r="C5" s="76"/>
      <c r="D5" s="77" t="s">
        <v>85</v>
      </c>
      <c r="E5" s="78" t="s">
        <v>86</v>
      </c>
      <c r="F5" s="78" t="s">
        <v>87</v>
      </c>
      <c r="G5" s="79" t="n">
        <v>200</v>
      </c>
      <c r="H5" s="80" t="n">
        <v>0.12</v>
      </c>
      <c r="I5" s="81" t="n">
        <f aca="false">IF(OR(G5="",H5=""),"",G5*H5)</f>
        <v>24</v>
      </c>
      <c r="J5" s="78" t="s">
        <v>88</v>
      </c>
      <c r="K5" s="82" t="str">
        <f aca="true">IF(AND(F5="",D5=""),"",IF(V5="Sí","✖️ Anulado",IF(O5&lt;&gt;"",IF(OR(Q5="Con incidencia",R5&lt;&gt;""),"⚠️ Llegó con incidencia",IF(AND(P5&lt;&gt;"",N(P5)&lt;N(G5)),"🧩 Llegó incompleto","✅ Recibido")),IF(C5="","🛒 Por pedir",IF(AND(N5&lt;&gt;"",TODAY()&gt;N(N5)),"🐢 Retrasado","📦 Pedido (esperando)")))))</f>
        <v>🛒 Por pedir</v>
      </c>
      <c r="L5" s="83" t="str">
        <f aca="true">IF(OR(N5="",C5="",K5="",K5="✖️ Anulado"),"",IF(O5&lt;&gt;"",MAX(0,O5-N5),IF(TODAY()&gt;N5,TODAY()-N5,"")))</f>
        <v/>
      </c>
      <c r="M5" s="76"/>
      <c r="N5" s="84" t="str">
        <f aca="false">IF(M5&lt;&gt;"",M5,IF(OR(C5="",D5=""),"",IFERROR(IF(INDEX(Listas!$E$5:$E$60,MATCH(D5,Listas!$B$5:$B$60,0))="","",C5+INDEX(Listas!$E$5:$E$60,MATCH(D5,Listas!$B$5:$B$60,0))),"")))</f>
        <v/>
      </c>
      <c r="O5" s="76"/>
      <c r="P5" s="79"/>
      <c r="Q5" s="85"/>
      <c r="R5" s="78"/>
      <c r="S5" s="83" t="str">
        <f aca="false">IF(OR(C5="",O5="",K5="✖️ Anulado"),"",O5-C5)</f>
        <v/>
      </c>
      <c r="T5" s="76"/>
      <c r="U5" s="81" t="str">
        <f aca="false">IF(OR(O5="",K5="✖️ Anulado",AND(T5&lt;&gt;"",T5&lt;&gt;"No")),"",N(H5)*IF(P5="",N(G5),N(P5)))</f>
        <v/>
      </c>
      <c r="V5" s="85"/>
      <c r="W5" s="78" t="s">
        <v>89</v>
      </c>
    </row>
    <row r="6" customFormat="false" ht="21" hidden="false" customHeight="true" outlineLevel="0" collapsed="false">
      <c r="A6" s="74" t="n">
        <v>2</v>
      </c>
      <c r="B6" s="75" t="s">
        <v>90</v>
      </c>
      <c r="C6" s="76" t="n">
        <f aca="true">TODAY()-2</f>
        <v>46309</v>
      </c>
      <c r="D6" s="77" t="s">
        <v>91</v>
      </c>
      <c r="E6" s="78" t="s">
        <v>92</v>
      </c>
      <c r="F6" s="78" t="s">
        <v>93</v>
      </c>
      <c r="G6" s="79" t="n">
        <v>5</v>
      </c>
      <c r="H6" s="80" t="n">
        <v>18.5</v>
      </c>
      <c r="I6" s="81" t="n">
        <f aca="false">IF(OR(G6="",H6=""),"",G6*H6)</f>
        <v>92.5</v>
      </c>
      <c r="J6" s="78" t="s">
        <v>94</v>
      </c>
      <c r="K6" s="82" t="str">
        <f aca="true">IF(AND(F6="",D6=""),"",IF(V6="Sí","✖️ Anulado",IF(O6&lt;&gt;"",IF(OR(Q6="Con incidencia",R6&lt;&gt;""),"⚠️ Llegó con incidencia",IF(AND(P6&lt;&gt;"",N(P6)&lt;N(G6)),"🧩 Llegó incompleto","✅ Recibido")),IF(C6="","🛒 Por pedir",IF(AND(N6&lt;&gt;"",TODAY()&gt;N(N6)),"🐢 Retrasado","📦 Pedido (esperando)")))))</f>
        <v>📦 Pedido (esperando)</v>
      </c>
      <c r="L6" s="83" t="str">
        <f aca="true">IF(OR(N6="",C6="",K6="",K6="✖️ Anulado"),"",IF(O6&lt;&gt;"",MAX(0,O6-N6),IF(TODAY()&gt;N6,TODAY()-N6,"")))</f>
        <v/>
      </c>
      <c r="M6" s="76" t="n">
        <f aca="true">TODAY()+3</f>
        <v>46314</v>
      </c>
      <c r="N6" s="84" t="n">
        <f aca="false">IF(M6&lt;&gt;"",M6,IF(OR(C6="",D6=""),"",IFERROR(IF(INDEX(Listas!$E$5:$E$60,MATCH(D6,Listas!$B$5:$B$60,0))="","",C6+INDEX(Listas!$E$5:$E$60,MATCH(D6,Listas!$B$5:$B$60,0))),"")))</f>
        <v>46314</v>
      </c>
      <c r="O6" s="76"/>
      <c r="P6" s="79"/>
      <c r="Q6" s="85"/>
      <c r="R6" s="78"/>
      <c r="S6" s="83" t="str">
        <f aca="false">IF(OR(C6="",O6="",K6="✖️ Anulado"),"",O6-C6)</f>
        <v/>
      </c>
      <c r="T6" s="76"/>
      <c r="U6" s="81" t="str">
        <f aca="false">IF(OR(O6="",K6="✖️ Anulado",AND(T6&lt;&gt;"",T6&lt;&gt;"No")),"",N(H6)*IF(P6="",N(G6),N(P6)))</f>
        <v/>
      </c>
      <c r="V6" s="85"/>
      <c r="W6" s="78"/>
    </row>
    <row r="7" customFormat="false" ht="21" hidden="false" customHeight="true" outlineLevel="0" collapsed="false">
      <c r="A7" s="74" t="n">
        <v>3</v>
      </c>
      <c r="B7" s="75" t="s">
        <v>90</v>
      </c>
      <c r="C7" s="76" t="n">
        <f aca="true">TODAY()-2</f>
        <v>46309</v>
      </c>
      <c r="D7" s="77" t="s">
        <v>91</v>
      </c>
      <c r="E7" s="78" t="s">
        <v>95</v>
      </c>
      <c r="F7" s="78" t="s">
        <v>96</v>
      </c>
      <c r="G7" s="79" t="n">
        <v>10</v>
      </c>
      <c r="H7" s="80" t="n">
        <v>4.2</v>
      </c>
      <c r="I7" s="81" t="n">
        <f aca="false">IF(OR(G7="",H7=""),"",G7*H7)</f>
        <v>42</v>
      </c>
      <c r="J7" s="78" t="s">
        <v>88</v>
      </c>
      <c r="K7" s="82" t="str">
        <f aca="true">IF(AND(F7="",D7=""),"",IF(V7="Sí","✖️ Anulado",IF(O7&lt;&gt;"",IF(OR(Q7="Con incidencia",R7&lt;&gt;""),"⚠️ Llegó con incidencia",IF(AND(P7&lt;&gt;"",N(P7)&lt;N(G7)),"🧩 Llegó incompleto","✅ Recibido")),IF(C7="","🛒 Por pedir",IF(AND(N7&lt;&gt;"",TODAY()&gt;N(N7)),"🐢 Retrasado","📦 Pedido (esperando)")))))</f>
        <v>📦 Pedido (esperando)</v>
      </c>
      <c r="L7" s="83" t="str">
        <f aca="true">IF(OR(N7="",C7="",K7="",K7="✖️ Anulado"),"",IF(O7&lt;&gt;"",MAX(0,O7-N7),IF(TODAY()&gt;N7,TODAY()-N7,"")))</f>
        <v/>
      </c>
      <c r="M7" s="76" t="n">
        <f aca="true">TODAY()+3</f>
        <v>46314</v>
      </c>
      <c r="N7" s="84" t="n">
        <f aca="false">IF(M7&lt;&gt;"",M7,IF(OR(C7="",D7=""),"",IFERROR(IF(INDEX(Listas!$E$5:$E$60,MATCH(D7,Listas!$B$5:$B$60,0))="","",C7+INDEX(Listas!$E$5:$E$60,MATCH(D7,Listas!$B$5:$B$60,0))),"")))</f>
        <v>46314</v>
      </c>
      <c r="O7" s="76"/>
      <c r="P7" s="79"/>
      <c r="Q7" s="85"/>
      <c r="R7" s="78"/>
      <c r="S7" s="83" t="str">
        <f aca="false">IF(OR(C7="",O7="",K7="✖️ Anulado"),"",O7-C7)</f>
        <v/>
      </c>
      <c r="T7" s="76"/>
      <c r="U7" s="81" t="str">
        <f aca="false">IF(OR(O7="",K7="✖️ Anulado",AND(T7&lt;&gt;"",T7&lt;&gt;"No")),"",N(H7)*IF(P7="",N(G7),N(P7)))</f>
        <v/>
      </c>
      <c r="V7" s="85"/>
      <c r="W7" s="78"/>
    </row>
    <row r="8" customFormat="false" ht="21" hidden="false" customHeight="true" outlineLevel="0" collapsed="false">
      <c r="A8" s="74" t="n">
        <v>4</v>
      </c>
      <c r="B8" s="75" t="s">
        <v>97</v>
      </c>
      <c r="C8" s="76" t="n">
        <f aca="true">TODAY()-12</f>
        <v>46299</v>
      </c>
      <c r="D8" s="77" t="s">
        <v>98</v>
      </c>
      <c r="E8" s="78" t="s">
        <v>99</v>
      </c>
      <c r="F8" s="78" t="s">
        <v>100</v>
      </c>
      <c r="G8" s="79" t="n">
        <v>2</v>
      </c>
      <c r="H8" s="80" t="n">
        <v>64</v>
      </c>
      <c r="I8" s="81" t="n">
        <f aca="false">IF(OR(G8="",H8=""),"",G8*H8)</f>
        <v>128</v>
      </c>
      <c r="J8" s="78" t="s">
        <v>101</v>
      </c>
      <c r="K8" s="82" t="str">
        <f aca="true">IF(AND(F8="",D8=""),"",IF(V8="Sí","✖️ Anulado",IF(O8&lt;&gt;"",IF(OR(Q8="Con incidencia",R8&lt;&gt;""),"⚠️ Llegó con incidencia",IF(AND(P8&lt;&gt;"",N(P8)&lt;N(G8)),"🧩 Llegó incompleto","✅ Recibido")),IF(C8="","🛒 Por pedir",IF(AND(N8&lt;&gt;"",TODAY()&gt;N(N8)),"🐢 Retrasado","📦 Pedido (esperando)")))))</f>
        <v>🐢 Retrasado</v>
      </c>
      <c r="L8" s="83" t="n">
        <f aca="true">IF(OR(N8="",C8="",K8="",K8="✖️ Anulado"),"",IF(O8&lt;&gt;"",MAX(0,O8-N8),IF(TODAY()&gt;N8,TODAY()-N8,"")))</f>
        <v>4</v>
      </c>
      <c r="M8" s="76" t="n">
        <f aca="true">TODAY()-4</f>
        <v>46307</v>
      </c>
      <c r="N8" s="84" t="n">
        <f aca="false">IF(M8&lt;&gt;"",M8,IF(OR(C8="",D8=""),"",IFERROR(IF(INDEX(Listas!$E$5:$E$60,MATCH(D8,Listas!$B$5:$B$60,0))="","",C8+INDEX(Listas!$E$5:$E$60,MATCH(D8,Listas!$B$5:$B$60,0))),"")))</f>
        <v>46307</v>
      </c>
      <c r="O8" s="76"/>
      <c r="P8" s="79"/>
      <c r="Q8" s="85"/>
      <c r="R8" s="78"/>
      <c r="S8" s="83" t="str">
        <f aca="false">IF(OR(C8="",O8="",K8="✖️ Anulado"),"",O8-C8)</f>
        <v/>
      </c>
      <c r="T8" s="76"/>
      <c r="U8" s="81" t="str">
        <f aca="false">IF(OR(O8="",K8="✖️ Anulado",AND(T8&lt;&gt;"",T8&lt;&gt;"No")),"",N(H8)*IF(P8="",N(G8),N(P8)))</f>
        <v/>
      </c>
      <c r="V8" s="85"/>
      <c r="W8" s="78" t="s">
        <v>102</v>
      </c>
    </row>
    <row r="9" customFormat="false" ht="21" hidden="false" customHeight="true" outlineLevel="0" collapsed="false">
      <c r="A9" s="74" t="n">
        <v>5</v>
      </c>
      <c r="B9" s="75" t="s">
        <v>103</v>
      </c>
      <c r="C9" s="76" t="n">
        <f aca="true">TODAY()-9</f>
        <v>46302</v>
      </c>
      <c r="D9" s="77" t="s">
        <v>104</v>
      </c>
      <c r="E9" s="78" t="s">
        <v>105</v>
      </c>
      <c r="F9" s="78" t="s">
        <v>106</v>
      </c>
      <c r="G9" s="79" t="n">
        <v>6</v>
      </c>
      <c r="H9" s="80" t="n">
        <v>7.9</v>
      </c>
      <c r="I9" s="81" t="n">
        <f aca="false">IF(OR(G9="",H9=""),"",G9*H9)</f>
        <v>47.4</v>
      </c>
      <c r="J9" s="78" t="s">
        <v>88</v>
      </c>
      <c r="K9" s="82" t="str">
        <f aca="true">IF(AND(F9="",D9=""),"",IF(V9="Sí","✖️ Anulado",IF(O9&lt;&gt;"",IF(OR(Q9="Con incidencia",R9&lt;&gt;""),"⚠️ Llegó con incidencia",IF(AND(P9&lt;&gt;"",N(P9)&lt;N(G9)),"🧩 Llegó incompleto","✅ Recibido")),IF(C9="","🛒 Por pedir",IF(AND(N9&lt;&gt;"",TODAY()&gt;N(N9)),"🐢 Retrasado","📦 Pedido (esperando)")))))</f>
        <v>🐢 Retrasado</v>
      </c>
      <c r="L9" s="83" t="n">
        <f aca="true">IF(OR(N9="",C9="",K9="",K9="✖️ Anulado"),"",IF(O9&lt;&gt;"",MAX(0,O9-N9),IF(TODAY()&gt;N9,TODAY()-N9,"")))</f>
        <v>2</v>
      </c>
      <c r="M9" s="76"/>
      <c r="N9" s="84" t="n">
        <f aca="false">IF(M9&lt;&gt;"",M9,IF(OR(C9="",D9=""),"",IFERROR(IF(INDEX(Listas!$E$5:$E$60,MATCH(D9,Listas!$B$5:$B$60,0))="","",C9+INDEX(Listas!$E$5:$E$60,MATCH(D9,Listas!$B$5:$B$60,0))),"")))</f>
        <v>46309</v>
      </c>
      <c r="O9" s="76"/>
      <c r="P9" s="79"/>
      <c r="Q9" s="85"/>
      <c r="R9" s="78"/>
      <c r="S9" s="83" t="str">
        <f aca="false">IF(OR(C9="",O9="",K9="✖️ Anulado"),"",O9-C9)</f>
        <v/>
      </c>
      <c r="T9" s="76"/>
      <c r="U9" s="81" t="str">
        <f aca="false">IF(OR(O9="",K9="✖️ Anulado",AND(T9&lt;&gt;"",T9&lt;&gt;"No")),"",N(H9)*IF(P9="",N(G9),N(P9)))</f>
        <v/>
      </c>
      <c r="V9" s="85"/>
      <c r="W9" s="78" t="s">
        <v>107</v>
      </c>
    </row>
    <row r="10" customFormat="false" ht="21" hidden="false" customHeight="true" outlineLevel="0" collapsed="false">
      <c r="A10" s="74" t="n">
        <v>6</v>
      </c>
      <c r="B10" s="75" t="s">
        <v>108</v>
      </c>
      <c r="C10" s="76" t="n">
        <f aca="true">TODAY()-15</f>
        <v>46296</v>
      </c>
      <c r="D10" s="77" t="s">
        <v>85</v>
      </c>
      <c r="E10" s="78" t="s">
        <v>109</v>
      </c>
      <c r="F10" s="78" t="s">
        <v>110</v>
      </c>
      <c r="G10" s="79" t="n">
        <v>100</v>
      </c>
      <c r="H10" s="80" t="n">
        <v>0.65</v>
      </c>
      <c r="I10" s="81" t="n">
        <f aca="false">IF(OR(G10="",H10=""),"",G10*H10)</f>
        <v>65</v>
      </c>
      <c r="J10" s="78" t="s">
        <v>88</v>
      </c>
      <c r="K10" s="82" t="str">
        <f aca="true">IF(AND(F10="",D10=""),"",IF(V10="Sí","✖️ Anulado",IF(O10&lt;&gt;"",IF(OR(Q10="Con incidencia",R10&lt;&gt;""),"⚠️ Llegó con incidencia",IF(AND(P10&lt;&gt;"",N(P10)&lt;N(G10)),"🧩 Llegó incompleto","✅ Recibido")),IF(C10="","🛒 Por pedir",IF(AND(N10&lt;&gt;"",TODAY()&gt;N(N10)),"🐢 Retrasado","📦 Pedido (esperando)")))))</f>
        <v>🧩 Llegó incompleto</v>
      </c>
      <c r="L10" s="83" t="n">
        <f aca="true">IF(OR(N10="",C10="",K10="",K10="✖️ Anulado"),"",IF(O10&lt;&gt;"",MAX(0,O10-N10),IF(TODAY()&gt;N10,TODAY()-N10,"")))</f>
        <v>1</v>
      </c>
      <c r="M10" s="76" t="n">
        <f aca="true">TODAY()-12</f>
        <v>46299</v>
      </c>
      <c r="N10" s="84" t="n">
        <f aca="false">IF(M10&lt;&gt;"",M10,IF(OR(C10="",D10=""),"",IFERROR(IF(INDEX(Listas!$E$5:$E$60,MATCH(D10,Listas!$B$5:$B$60,0))="","",C10+INDEX(Listas!$E$5:$E$60,MATCH(D10,Listas!$B$5:$B$60,0))),"")))</f>
        <v>46299</v>
      </c>
      <c r="O10" s="76" t="n">
        <f aca="true">TODAY()-11</f>
        <v>46300</v>
      </c>
      <c r="P10" s="79" t="n">
        <v>60</v>
      </c>
      <c r="Q10" s="85" t="s">
        <v>111</v>
      </c>
      <c r="R10" s="78"/>
      <c r="S10" s="83" t="n">
        <f aca="false">IF(OR(C10="",O10="",K10="✖️ Anulado"),"",O10-C10)</f>
        <v>4</v>
      </c>
      <c r="T10" s="76" t="s">
        <v>112</v>
      </c>
      <c r="U10" s="81" t="n">
        <f aca="false">IF(OR(O10="",K10="✖️ Anulado",AND(T10&lt;&gt;"",T10&lt;&gt;"No")),"",N(H10)*IF(P10="",N(G10),N(P10)))</f>
        <v>39</v>
      </c>
      <c r="V10" s="85"/>
      <c r="W10" s="78" t="s">
        <v>113</v>
      </c>
    </row>
    <row r="11" customFormat="false" ht="21" hidden="false" customHeight="true" outlineLevel="0" collapsed="false">
      <c r="A11" s="74" t="n">
        <v>7</v>
      </c>
      <c r="B11" s="75" t="s">
        <v>114</v>
      </c>
      <c r="C11" s="76" t="n">
        <f aca="true">TODAY()-20</f>
        <v>46291</v>
      </c>
      <c r="D11" s="77" t="s">
        <v>91</v>
      </c>
      <c r="E11" s="78" t="s">
        <v>115</v>
      </c>
      <c r="F11" s="78" t="s">
        <v>116</v>
      </c>
      <c r="G11" s="79" t="n">
        <v>20</v>
      </c>
      <c r="H11" s="80" t="n">
        <v>2.3</v>
      </c>
      <c r="I11" s="81" t="n">
        <f aca="false">IF(OR(G11="",H11=""),"",G11*H11)</f>
        <v>46</v>
      </c>
      <c r="J11" s="78" t="s">
        <v>88</v>
      </c>
      <c r="K11" s="82" t="str">
        <f aca="true">IF(AND(F11="",D11=""),"",IF(V11="Sí","✖️ Anulado",IF(O11&lt;&gt;"",IF(OR(Q11="Con incidencia",R11&lt;&gt;""),"⚠️ Llegó con incidencia",IF(AND(P11&lt;&gt;"",N(P11)&lt;N(G11)),"🧩 Llegó incompleto","✅ Recibido")),IF(C11="","🛒 Por pedir",IF(AND(N11&lt;&gt;"",TODAY()&gt;N(N11)),"🐢 Retrasado","📦 Pedido (esperando)")))))</f>
        <v>⚠️ Llegó con incidencia</v>
      </c>
      <c r="L11" s="83" t="n">
        <f aca="true">IF(OR(N11="",C11="",K11="",K11="✖️ Anulado"),"",IF(O11&lt;&gt;"",MAX(0,O11-N11),IF(TODAY()&gt;N11,TODAY()-N11,"")))</f>
        <v>1</v>
      </c>
      <c r="M11" s="76" t="n">
        <f aca="true">TODAY()-16</f>
        <v>46295</v>
      </c>
      <c r="N11" s="84" t="n">
        <f aca="false">IF(M11&lt;&gt;"",M11,IF(OR(C11="",D11=""),"",IFERROR(IF(INDEX(Listas!$E$5:$E$60,MATCH(D11,Listas!$B$5:$B$60,0))="","",C11+INDEX(Listas!$E$5:$E$60,MATCH(D11,Listas!$B$5:$B$60,0))),"")))</f>
        <v>46295</v>
      </c>
      <c r="O11" s="76" t="n">
        <f aca="true">TODAY()-15</f>
        <v>46296</v>
      </c>
      <c r="P11" s="79" t="n">
        <v>20</v>
      </c>
      <c r="Q11" s="85" t="s">
        <v>117</v>
      </c>
      <c r="R11" s="78" t="s">
        <v>118</v>
      </c>
      <c r="S11" s="83" t="n">
        <f aca="false">IF(OR(C11="",O11="",K11="✖️ Anulado"),"",O11-C11)</f>
        <v>5</v>
      </c>
      <c r="T11" s="76"/>
      <c r="U11" s="81" t="n">
        <f aca="false">IF(OR(O11="",K11="✖️ Anulado",AND(T11&lt;&gt;"",T11&lt;&gt;"No")),"",N(H11)*IF(P11="",N(G11),N(P11)))</f>
        <v>46</v>
      </c>
      <c r="V11" s="85"/>
      <c r="W11" s="78"/>
    </row>
    <row r="12" customFormat="false" ht="21" hidden="false" customHeight="true" outlineLevel="0" collapsed="false">
      <c r="A12" s="74" t="n">
        <v>8</v>
      </c>
      <c r="B12" s="75" t="s">
        <v>119</v>
      </c>
      <c r="C12" s="76" t="n">
        <f aca="true">TODAY()-25</f>
        <v>46286</v>
      </c>
      <c r="D12" s="77" t="s">
        <v>98</v>
      </c>
      <c r="E12" s="78" t="s">
        <v>120</v>
      </c>
      <c r="F12" s="78" t="s">
        <v>121</v>
      </c>
      <c r="G12" s="79" t="n">
        <v>4</v>
      </c>
      <c r="H12" s="80" t="n">
        <v>12</v>
      </c>
      <c r="I12" s="81" t="n">
        <f aca="false">IF(OR(G12="",H12=""),"",G12*H12)</f>
        <v>48</v>
      </c>
      <c r="J12" s="78" t="s">
        <v>101</v>
      </c>
      <c r="K12" s="82" t="str">
        <f aca="true">IF(AND(F12="",D12=""),"",IF(V12="Sí","✖️ Anulado",IF(O12&lt;&gt;"",IF(OR(Q12="Con incidencia",R12&lt;&gt;""),"⚠️ Llegó con incidencia",IF(AND(P12&lt;&gt;"",N(P12)&lt;N(G12)),"🧩 Llegó incompleto","✅ Recibido")),IF(C12="","🛒 Por pedir",IF(AND(N12&lt;&gt;"",TODAY()&gt;N(N12)),"🐢 Retrasado","📦 Pedido (esperando)")))))</f>
        <v>✅ Recibido</v>
      </c>
      <c r="L12" s="83" t="n">
        <f aca="true">IF(OR(N12="",C12="",K12="",K12="✖️ Anulado"),"",IF(O12&lt;&gt;"",MAX(0,O12-N12),IF(TODAY()&gt;N12,TODAY()-N12,"")))</f>
        <v>0</v>
      </c>
      <c r="M12" s="76" t="n">
        <f aca="true">TODAY()-20</f>
        <v>46291</v>
      </c>
      <c r="N12" s="84" t="n">
        <f aca="false">IF(M12&lt;&gt;"",M12,IF(OR(C12="",D12=""),"",IFERROR(IF(INDEX(Listas!$E$5:$E$60,MATCH(D12,Listas!$B$5:$B$60,0))="","",C12+INDEX(Listas!$E$5:$E$60,MATCH(D12,Listas!$B$5:$B$60,0))),"")))</f>
        <v>46291</v>
      </c>
      <c r="O12" s="76" t="n">
        <f aca="true">TODAY()-21</f>
        <v>46290</v>
      </c>
      <c r="P12" s="79"/>
      <c r="Q12" s="85" t="s">
        <v>111</v>
      </c>
      <c r="R12" s="78"/>
      <c r="S12" s="83" t="n">
        <f aca="false">IF(OR(C12="",O12="",K12="✖️ Anulado"),"",O12-C12)</f>
        <v>4</v>
      </c>
      <c r="T12" s="76" t="n">
        <f aca="true">TODAY()-18</f>
        <v>46293</v>
      </c>
      <c r="U12" s="81" t="str">
        <f aca="false">IF(OR(O12="",K12="✖️ Anulado",AND(T12&lt;&gt;"",T12&lt;&gt;"No")),"",N(H12)*IF(P12="",N(G12),N(P12)))</f>
        <v/>
      </c>
      <c r="V12" s="85"/>
      <c r="W12" s="78"/>
    </row>
    <row r="13" customFormat="false" ht="21" hidden="false" customHeight="true" outlineLevel="0" collapsed="false">
      <c r="A13" s="74" t="n">
        <v>9</v>
      </c>
      <c r="B13" s="75" t="s">
        <v>122</v>
      </c>
      <c r="C13" s="76" t="n">
        <f aca="true">TODAY()-6</f>
        <v>46305</v>
      </c>
      <c r="D13" s="77" t="s">
        <v>104</v>
      </c>
      <c r="E13" s="78" t="s">
        <v>123</v>
      </c>
      <c r="F13" s="78" t="s">
        <v>124</v>
      </c>
      <c r="G13" s="79" t="n">
        <v>3</v>
      </c>
      <c r="H13" s="80" t="n">
        <v>22</v>
      </c>
      <c r="I13" s="81" t="n">
        <f aca="false">IF(OR(G13="",H13=""),"",G13*H13)</f>
        <v>66</v>
      </c>
      <c r="J13" s="78" t="s">
        <v>88</v>
      </c>
      <c r="K13" s="82" t="str">
        <f aca="true">IF(AND(F13="",D13=""),"",IF(V13="Sí","✖️ Anulado",IF(O13&lt;&gt;"",IF(OR(Q13="Con incidencia",R13&lt;&gt;""),"⚠️ Llegó con incidencia",IF(AND(P13&lt;&gt;"",N(P13)&lt;N(G13)),"🧩 Llegó incompleto","✅ Recibido")),IF(C13="","🛒 Por pedir",IF(AND(N13&lt;&gt;"",TODAY()&gt;N(N13)),"🐢 Retrasado","📦 Pedido (esperando)")))))</f>
        <v>✅ Recibido</v>
      </c>
      <c r="L13" s="83" t="n">
        <f aca="true">IF(OR(N13="",C13="",K13="",K13="✖️ Anulado"),"",IF(O13&lt;&gt;"",MAX(0,O13-N13),IF(TODAY()&gt;N13,TODAY()-N13,"")))</f>
        <v>0</v>
      </c>
      <c r="M13" s="76"/>
      <c r="N13" s="84" t="n">
        <f aca="false">IF(M13&lt;&gt;"",M13,IF(OR(C13="",D13=""),"",IFERROR(IF(INDEX(Listas!$E$5:$E$60,MATCH(D13,Listas!$B$5:$B$60,0))="","",C13+INDEX(Listas!$E$5:$E$60,MATCH(D13,Listas!$B$5:$B$60,0))),"")))</f>
        <v>46312</v>
      </c>
      <c r="O13" s="76" t="n">
        <f aca="true">TODAY()-1</f>
        <v>46310</v>
      </c>
      <c r="P13" s="79"/>
      <c r="Q13" s="85" t="s">
        <v>111</v>
      </c>
      <c r="R13" s="78"/>
      <c r="S13" s="83" t="n">
        <f aca="false">IF(OR(C13="",O13="",K13="✖️ Anulado"),"",O13-C13)</f>
        <v>5</v>
      </c>
      <c r="T13" s="76" t="s">
        <v>112</v>
      </c>
      <c r="U13" s="81" t="n">
        <f aca="false">IF(OR(O13="",K13="✖️ Anulado",AND(T13&lt;&gt;"",T13&lt;&gt;"No")),"",N(H13)*IF(P13="",N(G13),N(P13)))</f>
        <v>66</v>
      </c>
      <c r="V13" s="85"/>
      <c r="W13" s="78"/>
    </row>
    <row r="14" customFormat="false" ht="21" hidden="false" customHeight="true" outlineLevel="0" collapsed="false">
      <c r="A14" s="74" t="n">
        <v>10</v>
      </c>
      <c r="B14" s="75" t="s">
        <v>125</v>
      </c>
      <c r="C14" s="76" t="n">
        <f aca="true">TODAY()-8</f>
        <v>46303</v>
      </c>
      <c r="D14" s="77" t="s">
        <v>85</v>
      </c>
      <c r="E14" s="78" t="s">
        <v>126</v>
      </c>
      <c r="F14" s="78" t="s">
        <v>127</v>
      </c>
      <c r="G14" s="79" t="n">
        <v>10</v>
      </c>
      <c r="H14" s="80" t="n">
        <v>14</v>
      </c>
      <c r="I14" s="81" t="n">
        <f aca="false">IF(OR(G14="",H14=""),"",G14*H14)</f>
        <v>140</v>
      </c>
      <c r="J14" s="78" t="s">
        <v>88</v>
      </c>
      <c r="K14" s="82" t="str">
        <f aca="true">IF(AND(F14="",D14=""),"",IF(V14="Sí","✖️ Anulado",IF(O14&lt;&gt;"",IF(OR(Q14="Con incidencia",R14&lt;&gt;""),"⚠️ Llegó con incidencia",IF(AND(P14&lt;&gt;"",N(P14)&lt;N(G14)),"🧩 Llegó incompleto","✅ Recibido")),IF(C14="","🛒 Por pedir",IF(AND(N14&lt;&gt;"",TODAY()&gt;N(N14)),"🐢 Retrasado","📦 Pedido (esperando)")))))</f>
        <v>✖️ Anulado</v>
      </c>
      <c r="L14" s="83" t="str">
        <f aca="true">IF(OR(N14="",C14="",K14="",K14="✖️ Anulado"),"",IF(O14&lt;&gt;"",MAX(0,O14-N14),IF(TODAY()&gt;N14,TODAY()-N14,"")))</f>
        <v/>
      </c>
      <c r="M14" s="76"/>
      <c r="N14" s="84" t="n">
        <f aca="false">IF(M14&lt;&gt;"",M14,IF(OR(C14="",D14=""),"",IFERROR(IF(INDEX(Listas!$E$5:$E$60,MATCH(D14,Listas!$B$5:$B$60,0))="","",C14+INDEX(Listas!$E$5:$E$60,MATCH(D14,Listas!$B$5:$B$60,0))),"")))</f>
        <v>46306</v>
      </c>
      <c r="O14" s="76"/>
      <c r="P14" s="79"/>
      <c r="Q14" s="85"/>
      <c r="R14" s="78"/>
      <c r="S14" s="83" t="str">
        <f aca="false">IF(OR(C14="",O14="",K14="✖️ Anulado"),"",O14-C14)</f>
        <v/>
      </c>
      <c r="T14" s="76"/>
      <c r="U14" s="81" t="str">
        <f aca="false">IF(OR(O14="",K14="✖️ Anulado",AND(T14&lt;&gt;"",T14&lt;&gt;"No")),"",N(H14)*IF(P14="",N(G14),N(P14)))</f>
        <v/>
      </c>
      <c r="V14" s="85" t="s">
        <v>128</v>
      </c>
      <c r="W14" s="78" t="s">
        <v>129</v>
      </c>
    </row>
    <row r="15" customFormat="false" ht="21" hidden="false" customHeight="true" outlineLevel="0" collapsed="false">
      <c r="A15" s="74" t="n">
        <v>11</v>
      </c>
      <c r="B15" s="86"/>
      <c r="C15" s="87"/>
      <c r="D15" s="88"/>
      <c r="E15" s="89"/>
      <c r="F15" s="89"/>
      <c r="G15" s="90"/>
      <c r="H15" s="91"/>
      <c r="I15" s="92" t="str">
        <f aca="false">IF(OR(G15="",H15=""),"",G15*H15)</f>
        <v/>
      </c>
      <c r="J15" s="89"/>
      <c r="K15" s="93" t="str">
        <f aca="true">IF(AND(F15="",D15=""),"",IF(V15="Sí","✖️ Anulado",IF(O15&lt;&gt;"",IF(OR(Q15="Con incidencia",R15&lt;&gt;""),"⚠️ Llegó con incidencia",IF(AND(P15&lt;&gt;"",N(P15)&lt;N(G15)),"🧩 Llegó incompleto","✅ Recibido")),IF(C15="","🛒 Por pedir",IF(AND(N15&lt;&gt;"",TODAY()&gt;N(N15)),"🐢 Retrasado","📦 Pedido (esperando)")))))</f>
        <v/>
      </c>
      <c r="L15" s="94" t="str">
        <f aca="true">IF(OR(N15="",C15="",K15="",K15="✖️ Anulado"),"",IF(O15&lt;&gt;"",MAX(0,O15-N15),IF(TODAY()&gt;N15,TODAY()-N15,"")))</f>
        <v/>
      </c>
      <c r="M15" s="87"/>
      <c r="N15" s="95" t="str">
        <f aca="false">IF(M15&lt;&gt;"",M15,IF(OR(C15="",D15=""),"",IFERROR(IF(INDEX(Listas!$E$5:$E$60,MATCH(D15,Listas!$B$5:$B$60,0))="","",C15+INDEX(Listas!$E$5:$E$60,MATCH(D15,Listas!$B$5:$B$60,0))),"")))</f>
        <v/>
      </c>
      <c r="O15" s="87"/>
      <c r="P15" s="90"/>
      <c r="Q15" s="96"/>
      <c r="R15" s="89"/>
      <c r="S15" s="94" t="str">
        <f aca="false">IF(OR(C15="",O15="",K15="✖️ Anulado"),"",O15-C15)</f>
        <v/>
      </c>
      <c r="T15" s="87"/>
      <c r="U15" s="92" t="str">
        <f aca="false">IF(OR(O15="",K15="✖️ Anulado",AND(T15&lt;&gt;"",T15&lt;&gt;"No")),"",N(H15)*IF(P15="",N(G15),N(P15)))</f>
        <v/>
      </c>
      <c r="V15" s="96"/>
      <c r="W15" s="89"/>
    </row>
    <row r="16" customFormat="false" ht="21" hidden="false" customHeight="true" outlineLevel="0" collapsed="false">
      <c r="A16" s="74" t="n">
        <v>12</v>
      </c>
      <c r="B16" s="86"/>
      <c r="C16" s="87"/>
      <c r="D16" s="88"/>
      <c r="E16" s="89"/>
      <c r="F16" s="89"/>
      <c r="G16" s="90"/>
      <c r="H16" s="91"/>
      <c r="I16" s="92" t="str">
        <f aca="false">IF(OR(G16="",H16=""),"",G16*H16)</f>
        <v/>
      </c>
      <c r="J16" s="89"/>
      <c r="K16" s="93" t="str">
        <f aca="true">IF(AND(F16="",D16=""),"",IF(V16="Sí","✖️ Anulado",IF(O16&lt;&gt;"",IF(OR(Q16="Con incidencia",R16&lt;&gt;""),"⚠️ Llegó con incidencia",IF(AND(P16&lt;&gt;"",N(P16)&lt;N(G16)),"🧩 Llegó incompleto","✅ Recibido")),IF(C16="","🛒 Por pedir",IF(AND(N16&lt;&gt;"",TODAY()&gt;N(N16)),"🐢 Retrasado","📦 Pedido (esperando)")))))</f>
        <v/>
      </c>
      <c r="L16" s="94" t="str">
        <f aca="true">IF(OR(N16="",C16="",K16="",K16="✖️ Anulado"),"",IF(O16&lt;&gt;"",MAX(0,O16-N16),IF(TODAY()&gt;N16,TODAY()-N16,"")))</f>
        <v/>
      </c>
      <c r="M16" s="87"/>
      <c r="N16" s="95" t="str">
        <f aca="false">IF(M16&lt;&gt;"",M16,IF(OR(C16="",D16=""),"",IFERROR(IF(INDEX(Listas!$E$5:$E$60,MATCH(D16,Listas!$B$5:$B$60,0))="","",C16+INDEX(Listas!$E$5:$E$60,MATCH(D16,Listas!$B$5:$B$60,0))),"")))</f>
        <v/>
      </c>
      <c r="O16" s="87"/>
      <c r="P16" s="90"/>
      <c r="Q16" s="96"/>
      <c r="R16" s="89"/>
      <c r="S16" s="94" t="str">
        <f aca="false">IF(OR(C16="",O16="",K16="✖️ Anulado"),"",O16-C16)</f>
        <v/>
      </c>
      <c r="T16" s="87"/>
      <c r="U16" s="92" t="str">
        <f aca="false">IF(OR(O16="",K16="✖️ Anulado",AND(T16&lt;&gt;"",T16&lt;&gt;"No")),"",N(H16)*IF(P16="",N(G16),N(P16)))</f>
        <v/>
      </c>
      <c r="V16" s="96"/>
      <c r="W16" s="89"/>
    </row>
    <row r="17" customFormat="false" ht="21" hidden="false" customHeight="true" outlineLevel="0" collapsed="false">
      <c r="A17" s="74" t="n">
        <v>13</v>
      </c>
      <c r="B17" s="86"/>
      <c r="C17" s="87"/>
      <c r="D17" s="88"/>
      <c r="E17" s="89"/>
      <c r="F17" s="89"/>
      <c r="G17" s="90"/>
      <c r="H17" s="91"/>
      <c r="I17" s="92" t="str">
        <f aca="false">IF(OR(G17="",H17=""),"",G17*H17)</f>
        <v/>
      </c>
      <c r="J17" s="89"/>
      <c r="K17" s="93" t="str">
        <f aca="true">IF(AND(F17="",D17=""),"",IF(V17="Sí","✖️ Anulado",IF(O17&lt;&gt;"",IF(OR(Q17="Con incidencia",R17&lt;&gt;""),"⚠️ Llegó con incidencia",IF(AND(P17&lt;&gt;"",N(P17)&lt;N(G17)),"🧩 Llegó incompleto","✅ Recibido")),IF(C17="","🛒 Por pedir",IF(AND(N17&lt;&gt;"",TODAY()&gt;N(N17)),"🐢 Retrasado","📦 Pedido (esperando)")))))</f>
        <v/>
      </c>
      <c r="L17" s="94" t="str">
        <f aca="true">IF(OR(N17="",C17="",K17="",K17="✖️ Anulado"),"",IF(O17&lt;&gt;"",MAX(0,O17-N17),IF(TODAY()&gt;N17,TODAY()-N17,"")))</f>
        <v/>
      </c>
      <c r="M17" s="87"/>
      <c r="N17" s="95" t="str">
        <f aca="false">IF(M17&lt;&gt;"",M17,IF(OR(C17="",D17=""),"",IFERROR(IF(INDEX(Listas!$E$5:$E$60,MATCH(D17,Listas!$B$5:$B$60,0))="","",C17+INDEX(Listas!$E$5:$E$60,MATCH(D17,Listas!$B$5:$B$60,0))),"")))</f>
        <v/>
      </c>
      <c r="O17" s="87"/>
      <c r="P17" s="90"/>
      <c r="Q17" s="96"/>
      <c r="R17" s="89"/>
      <c r="S17" s="94" t="str">
        <f aca="false">IF(OR(C17="",O17="",K17="✖️ Anulado"),"",O17-C17)</f>
        <v/>
      </c>
      <c r="T17" s="87"/>
      <c r="U17" s="92" t="str">
        <f aca="false">IF(OR(O17="",K17="✖️ Anulado",AND(T17&lt;&gt;"",T17&lt;&gt;"No")),"",N(H17)*IF(P17="",N(G17),N(P17)))</f>
        <v/>
      </c>
      <c r="V17" s="96"/>
      <c r="W17" s="89"/>
    </row>
    <row r="18" customFormat="false" ht="21" hidden="false" customHeight="true" outlineLevel="0" collapsed="false">
      <c r="A18" s="74" t="n">
        <v>14</v>
      </c>
      <c r="B18" s="86"/>
      <c r="C18" s="87"/>
      <c r="D18" s="88"/>
      <c r="E18" s="89"/>
      <c r="F18" s="89"/>
      <c r="G18" s="90"/>
      <c r="H18" s="91"/>
      <c r="I18" s="92" t="str">
        <f aca="false">IF(OR(G18="",H18=""),"",G18*H18)</f>
        <v/>
      </c>
      <c r="J18" s="89"/>
      <c r="K18" s="93" t="str">
        <f aca="true">IF(AND(F18="",D18=""),"",IF(V18="Sí","✖️ Anulado",IF(O18&lt;&gt;"",IF(OR(Q18="Con incidencia",R18&lt;&gt;""),"⚠️ Llegó con incidencia",IF(AND(P18&lt;&gt;"",N(P18)&lt;N(G18)),"🧩 Llegó incompleto","✅ Recibido")),IF(C18="","🛒 Por pedir",IF(AND(N18&lt;&gt;"",TODAY()&gt;N(N18)),"🐢 Retrasado","📦 Pedido (esperando)")))))</f>
        <v/>
      </c>
      <c r="L18" s="94" t="str">
        <f aca="true">IF(OR(N18="",C18="",K18="",K18="✖️ Anulado"),"",IF(O18&lt;&gt;"",MAX(0,O18-N18),IF(TODAY()&gt;N18,TODAY()-N18,"")))</f>
        <v/>
      </c>
      <c r="M18" s="87"/>
      <c r="N18" s="95" t="str">
        <f aca="false">IF(M18&lt;&gt;"",M18,IF(OR(C18="",D18=""),"",IFERROR(IF(INDEX(Listas!$E$5:$E$60,MATCH(D18,Listas!$B$5:$B$60,0))="","",C18+INDEX(Listas!$E$5:$E$60,MATCH(D18,Listas!$B$5:$B$60,0))),"")))</f>
        <v/>
      </c>
      <c r="O18" s="87"/>
      <c r="P18" s="90"/>
      <c r="Q18" s="96"/>
      <c r="R18" s="89"/>
      <c r="S18" s="94" t="str">
        <f aca="false">IF(OR(C18="",O18="",K18="✖️ Anulado"),"",O18-C18)</f>
        <v/>
      </c>
      <c r="T18" s="87"/>
      <c r="U18" s="92" t="str">
        <f aca="false">IF(OR(O18="",K18="✖️ Anulado",AND(T18&lt;&gt;"",T18&lt;&gt;"No")),"",N(H18)*IF(P18="",N(G18),N(P18)))</f>
        <v/>
      </c>
      <c r="V18" s="96"/>
      <c r="W18" s="89"/>
    </row>
    <row r="19" customFormat="false" ht="21" hidden="false" customHeight="true" outlineLevel="0" collapsed="false">
      <c r="A19" s="74" t="n">
        <v>15</v>
      </c>
      <c r="B19" s="86"/>
      <c r="C19" s="87"/>
      <c r="D19" s="88"/>
      <c r="E19" s="89"/>
      <c r="F19" s="89"/>
      <c r="G19" s="90"/>
      <c r="H19" s="91"/>
      <c r="I19" s="92" t="str">
        <f aca="false">IF(OR(G19="",H19=""),"",G19*H19)</f>
        <v/>
      </c>
      <c r="J19" s="89"/>
      <c r="K19" s="93" t="str">
        <f aca="true">IF(AND(F19="",D19=""),"",IF(V19="Sí","✖️ Anulado",IF(O19&lt;&gt;"",IF(OR(Q19="Con incidencia",R19&lt;&gt;""),"⚠️ Llegó con incidencia",IF(AND(P19&lt;&gt;"",N(P19)&lt;N(G19)),"🧩 Llegó incompleto","✅ Recibido")),IF(C19="","🛒 Por pedir",IF(AND(N19&lt;&gt;"",TODAY()&gt;N(N19)),"🐢 Retrasado","📦 Pedido (esperando)")))))</f>
        <v/>
      </c>
      <c r="L19" s="94" t="str">
        <f aca="true">IF(OR(N19="",C19="",K19="",K19="✖️ Anulado"),"",IF(O19&lt;&gt;"",MAX(0,O19-N19),IF(TODAY()&gt;N19,TODAY()-N19,"")))</f>
        <v/>
      </c>
      <c r="M19" s="87"/>
      <c r="N19" s="95" t="str">
        <f aca="false">IF(M19&lt;&gt;"",M19,IF(OR(C19="",D19=""),"",IFERROR(IF(INDEX(Listas!$E$5:$E$60,MATCH(D19,Listas!$B$5:$B$60,0))="","",C19+INDEX(Listas!$E$5:$E$60,MATCH(D19,Listas!$B$5:$B$60,0))),"")))</f>
        <v/>
      </c>
      <c r="O19" s="87"/>
      <c r="P19" s="90"/>
      <c r="Q19" s="96"/>
      <c r="R19" s="89"/>
      <c r="S19" s="94" t="str">
        <f aca="false">IF(OR(C19="",O19="",K19="✖️ Anulado"),"",O19-C19)</f>
        <v/>
      </c>
      <c r="T19" s="87"/>
      <c r="U19" s="92" t="str">
        <f aca="false">IF(OR(O19="",K19="✖️ Anulado",AND(T19&lt;&gt;"",T19&lt;&gt;"No")),"",N(H19)*IF(P19="",N(G19),N(P19)))</f>
        <v/>
      </c>
      <c r="V19" s="96"/>
      <c r="W19" s="89"/>
    </row>
    <row r="20" customFormat="false" ht="21" hidden="false" customHeight="true" outlineLevel="0" collapsed="false">
      <c r="A20" s="74" t="n">
        <v>16</v>
      </c>
      <c r="B20" s="86"/>
      <c r="C20" s="87"/>
      <c r="D20" s="88"/>
      <c r="E20" s="89"/>
      <c r="F20" s="89"/>
      <c r="G20" s="90"/>
      <c r="H20" s="91"/>
      <c r="I20" s="92" t="str">
        <f aca="false">IF(OR(G20="",H20=""),"",G20*H20)</f>
        <v/>
      </c>
      <c r="J20" s="89"/>
      <c r="K20" s="93" t="str">
        <f aca="true">IF(AND(F20="",D20=""),"",IF(V20="Sí","✖️ Anulado",IF(O20&lt;&gt;"",IF(OR(Q20="Con incidencia",R20&lt;&gt;""),"⚠️ Llegó con incidencia",IF(AND(P20&lt;&gt;"",N(P20)&lt;N(G20)),"🧩 Llegó incompleto","✅ Recibido")),IF(C20="","🛒 Por pedir",IF(AND(N20&lt;&gt;"",TODAY()&gt;N(N20)),"🐢 Retrasado","📦 Pedido (esperando)")))))</f>
        <v/>
      </c>
      <c r="L20" s="94" t="str">
        <f aca="true">IF(OR(N20="",C20="",K20="",K20="✖️ Anulado"),"",IF(O20&lt;&gt;"",MAX(0,O20-N20),IF(TODAY()&gt;N20,TODAY()-N20,"")))</f>
        <v/>
      </c>
      <c r="M20" s="87"/>
      <c r="N20" s="95" t="str">
        <f aca="false">IF(M20&lt;&gt;"",M20,IF(OR(C20="",D20=""),"",IFERROR(IF(INDEX(Listas!$E$5:$E$60,MATCH(D20,Listas!$B$5:$B$60,0))="","",C20+INDEX(Listas!$E$5:$E$60,MATCH(D20,Listas!$B$5:$B$60,0))),"")))</f>
        <v/>
      </c>
      <c r="O20" s="87"/>
      <c r="P20" s="90"/>
      <c r="Q20" s="96"/>
      <c r="R20" s="89"/>
      <c r="S20" s="94" t="str">
        <f aca="false">IF(OR(C20="",O20="",K20="✖️ Anulado"),"",O20-C20)</f>
        <v/>
      </c>
      <c r="T20" s="87"/>
      <c r="U20" s="92" t="str">
        <f aca="false">IF(OR(O20="",K20="✖️ Anulado",AND(T20&lt;&gt;"",T20&lt;&gt;"No")),"",N(H20)*IF(P20="",N(G20),N(P20)))</f>
        <v/>
      </c>
      <c r="V20" s="96"/>
      <c r="W20" s="89"/>
    </row>
    <row r="21" customFormat="false" ht="21" hidden="false" customHeight="true" outlineLevel="0" collapsed="false">
      <c r="A21" s="74" t="n">
        <v>17</v>
      </c>
      <c r="B21" s="86"/>
      <c r="C21" s="87"/>
      <c r="D21" s="88"/>
      <c r="E21" s="89"/>
      <c r="F21" s="89"/>
      <c r="G21" s="90"/>
      <c r="H21" s="91"/>
      <c r="I21" s="92" t="str">
        <f aca="false">IF(OR(G21="",H21=""),"",G21*H21)</f>
        <v/>
      </c>
      <c r="J21" s="89"/>
      <c r="K21" s="93" t="str">
        <f aca="true">IF(AND(F21="",D21=""),"",IF(V21="Sí","✖️ Anulado",IF(O21&lt;&gt;"",IF(OR(Q21="Con incidencia",R21&lt;&gt;""),"⚠️ Llegó con incidencia",IF(AND(P21&lt;&gt;"",N(P21)&lt;N(G21)),"🧩 Llegó incompleto","✅ Recibido")),IF(C21="","🛒 Por pedir",IF(AND(N21&lt;&gt;"",TODAY()&gt;N(N21)),"🐢 Retrasado","📦 Pedido (esperando)")))))</f>
        <v/>
      </c>
      <c r="L21" s="94" t="str">
        <f aca="true">IF(OR(N21="",C21="",K21="",K21="✖️ Anulado"),"",IF(O21&lt;&gt;"",MAX(0,O21-N21),IF(TODAY()&gt;N21,TODAY()-N21,"")))</f>
        <v/>
      </c>
      <c r="M21" s="87"/>
      <c r="N21" s="95" t="str">
        <f aca="false">IF(M21&lt;&gt;"",M21,IF(OR(C21="",D21=""),"",IFERROR(IF(INDEX(Listas!$E$5:$E$60,MATCH(D21,Listas!$B$5:$B$60,0))="","",C21+INDEX(Listas!$E$5:$E$60,MATCH(D21,Listas!$B$5:$B$60,0))),"")))</f>
        <v/>
      </c>
      <c r="O21" s="87"/>
      <c r="P21" s="90"/>
      <c r="Q21" s="96"/>
      <c r="R21" s="89"/>
      <c r="S21" s="94" t="str">
        <f aca="false">IF(OR(C21="",O21="",K21="✖️ Anulado"),"",O21-C21)</f>
        <v/>
      </c>
      <c r="T21" s="87"/>
      <c r="U21" s="92" t="str">
        <f aca="false">IF(OR(O21="",K21="✖️ Anulado",AND(T21&lt;&gt;"",T21&lt;&gt;"No")),"",N(H21)*IF(P21="",N(G21),N(P21)))</f>
        <v/>
      </c>
      <c r="V21" s="96"/>
      <c r="W21" s="89"/>
    </row>
    <row r="22" customFormat="false" ht="21" hidden="false" customHeight="true" outlineLevel="0" collapsed="false">
      <c r="A22" s="74" t="n">
        <v>18</v>
      </c>
      <c r="B22" s="86"/>
      <c r="C22" s="87"/>
      <c r="D22" s="88"/>
      <c r="E22" s="89"/>
      <c r="F22" s="89"/>
      <c r="G22" s="90"/>
      <c r="H22" s="91"/>
      <c r="I22" s="92" t="str">
        <f aca="false">IF(OR(G22="",H22=""),"",G22*H22)</f>
        <v/>
      </c>
      <c r="J22" s="89"/>
      <c r="K22" s="93" t="str">
        <f aca="true">IF(AND(F22="",D22=""),"",IF(V22="Sí","✖️ Anulado",IF(O22&lt;&gt;"",IF(OR(Q22="Con incidencia",R22&lt;&gt;""),"⚠️ Llegó con incidencia",IF(AND(P22&lt;&gt;"",N(P22)&lt;N(G22)),"🧩 Llegó incompleto","✅ Recibido")),IF(C22="","🛒 Por pedir",IF(AND(N22&lt;&gt;"",TODAY()&gt;N(N22)),"🐢 Retrasado","📦 Pedido (esperando)")))))</f>
        <v/>
      </c>
      <c r="L22" s="94" t="str">
        <f aca="true">IF(OR(N22="",C22="",K22="",K22="✖️ Anulado"),"",IF(O22&lt;&gt;"",MAX(0,O22-N22),IF(TODAY()&gt;N22,TODAY()-N22,"")))</f>
        <v/>
      </c>
      <c r="M22" s="87"/>
      <c r="N22" s="95" t="str">
        <f aca="false">IF(M22&lt;&gt;"",M22,IF(OR(C22="",D22=""),"",IFERROR(IF(INDEX(Listas!$E$5:$E$60,MATCH(D22,Listas!$B$5:$B$60,0))="","",C22+INDEX(Listas!$E$5:$E$60,MATCH(D22,Listas!$B$5:$B$60,0))),"")))</f>
        <v/>
      </c>
      <c r="O22" s="87"/>
      <c r="P22" s="90"/>
      <c r="Q22" s="96"/>
      <c r="R22" s="89"/>
      <c r="S22" s="94" t="str">
        <f aca="false">IF(OR(C22="",O22="",K22="✖️ Anulado"),"",O22-C22)</f>
        <v/>
      </c>
      <c r="T22" s="87"/>
      <c r="U22" s="92" t="str">
        <f aca="false">IF(OR(O22="",K22="✖️ Anulado",AND(T22&lt;&gt;"",T22&lt;&gt;"No")),"",N(H22)*IF(P22="",N(G22),N(P22)))</f>
        <v/>
      </c>
      <c r="V22" s="96"/>
      <c r="W22" s="89"/>
    </row>
    <row r="23" customFormat="false" ht="21" hidden="false" customHeight="true" outlineLevel="0" collapsed="false">
      <c r="A23" s="74" t="n">
        <v>19</v>
      </c>
      <c r="B23" s="86"/>
      <c r="C23" s="87"/>
      <c r="D23" s="88"/>
      <c r="E23" s="89"/>
      <c r="F23" s="89"/>
      <c r="G23" s="90"/>
      <c r="H23" s="91"/>
      <c r="I23" s="92" t="str">
        <f aca="false">IF(OR(G23="",H23=""),"",G23*H23)</f>
        <v/>
      </c>
      <c r="J23" s="89"/>
      <c r="K23" s="93" t="str">
        <f aca="true">IF(AND(F23="",D23=""),"",IF(V23="Sí","✖️ Anulado",IF(O23&lt;&gt;"",IF(OR(Q23="Con incidencia",R23&lt;&gt;""),"⚠️ Llegó con incidencia",IF(AND(P23&lt;&gt;"",N(P23)&lt;N(G23)),"🧩 Llegó incompleto","✅ Recibido")),IF(C23="","🛒 Por pedir",IF(AND(N23&lt;&gt;"",TODAY()&gt;N(N23)),"🐢 Retrasado","📦 Pedido (esperando)")))))</f>
        <v/>
      </c>
      <c r="L23" s="94" t="str">
        <f aca="true">IF(OR(N23="",C23="",K23="",K23="✖️ Anulado"),"",IF(O23&lt;&gt;"",MAX(0,O23-N23),IF(TODAY()&gt;N23,TODAY()-N23,"")))</f>
        <v/>
      </c>
      <c r="M23" s="87"/>
      <c r="N23" s="95" t="str">
        <f aca="false">IF(M23&lt;&gt;"",M23,IF(OR(C23="",D23=""),"",IFERROR(IF(INDEX(Listas!$E$5:$E$60,MATCH(D23,Listas!$B$5:$B$60,0))="","",C23+INDEX(Listas!$E$5:$E$60,MATCH(D23,Listas!$B$5:$B$60,0))),"")))</f>
        <v/>
      </c>
      <c r="O23" s="87"/>
      <c r="P23" s="90"/>
      <c r="Q23" s="96"/>
      <c r="R23" s="89"/>
      <c r="S23" s="94" t="str">
        <f aca="false">IF(OR(C23="",O23="",K23="✖️ Anulado"),"",O23-C23)</f>
        <v/>
      </c>
      <c r="T23" s="87"/>
      <c r="U23" s="92" t="str">
        <f aca="false">IF(OR(O23="",K23="✖️ Anulado",AND(T23&lt;&gt;"",T23&lt;&gt;"No")),"",N(H23)*IF(P23="",N(G23),N(P23)))</f>
        <v/>
      </c>
      <c r="V23" s="96"/>
      <c r="W23" s="89"/>
    </row>
    <row r="24" customFormat="false" ht="21" hidden="false" customHeight="true" outlineLevel="0" collapsed="false">
      <c r="A24" s="74" t="n">
        <v>20</v>
      </c>
      <c r="B24" s="86"/>
      <c r="C24" s="87"/>
      <c r="D24" s="88"/>
      <c r="E24" s="89"/>
      <c r="F24" s="89"/>
      <c r="G24" s="90"/>
      <c r="H24" s="91"/>
      <c r="I24" s="92" t="str">
        <f aca="false">IF(OR(G24="",H24=""),"",G24*H24)</f>
        <v/>
      </c>
      <c r="J24" s="89"/>
      <c r="K24" s="93" t="str">
        <f aca="true">IF(AND(F24="",D24=""),"",IF(V24="Sí","✖️ Anulado",IF(O24&lt;&gt;"",IF(OR(Q24="Con incidencia",R24&lt;&gt;""),"⚠️ Llegó con incidencia",IF(AND(P24&lt;&gt;"",N(P24)&lt;N(G24)),"🧩 Llegó incompleto","✅ Recibido")),IF(C24="","🛒 Por pedir",IF(AND(N24&lt;&gt;"",TODAY()&gt;N(N24)),"🐢 Retrasado","📦 Pedido (esperando)")))))</f>
        <v/>
      </c>
      <c r="L24" s="94" t="str">
        <f aca="true">IF(OR(N24="",C24="",K24="",K24="✖️ Anulado"),"",IF(O24&lt;&gt;"",MAX(0,O24-N24),IF(TODAY()&gt;N24,TODAY()-N24,"")))</f>
        <v/>
      </c>
      <c r="M24" s="87"/>
      <c r="N24" s="95" t="str">
        <f aca="false">IF(M24&lt;&gt;"",M24,IF(OR(C24="",D24=""),"",IFERROR(IF(INDEX(Listas!$E$5:$E$60,MATCH(D24,Listas!$B$5:$B$60,0))="","",C24+INDEX(Listas!$E$5:$E$60,MATCH(D24,Listas!$B$5:$B$60,0))),"")))</f>
        <v/>
      </c>
      <c r="O24" s="87"/>
      <c r="P24" s="90"/>
      <c r="Q24" s="96"/>
      <c r="R24" s="89"/>
      <c r="S24" s="94" t="str">
        <f aca="false">IF(OR(C24="",O24="",K24="✖️ Anulado"),"",O24-C24)</f>
        <v/>
      </c>
      <c r="T24" s="87"/>
      <c r="U24" s="92" t="str">
        <f aca="false">IF(OR(O24="",K24="✖️ Anulado",AND(T24&lt;&gt;"",T24&lt;&gt;"No")),"",N(H24)*IF(P24="",N(G24),N(P24)))</f>
        <v/>
      </c>
      <c r="V24" s="96"/>
      <c r="W24" s="89"/>
    </row>
    <row r="25" customFormat="false" ht="21" hidden="false" customHeight="true" outlineLevel="0" collapsed="false">
      <c r="A25" s="74" t="n">
        <v>21</v>
      </c>
      <c r="B25" s="86"/>
      <c r="C25" s="87"/>
      <c r="D25" s="88"/>
      <c r="E25" s="89"/>
      <c r="F25" s="89"/>
      <c r="G25" s="90"/>
      <c r="H25" s="91"/>
      <c r="I25" s="92" t="str">
        <f aca="false">IF(OR(G25="",H25=""),"",G25*H25)</f>
        <v/>
      </c>
      <c r="J25" s="89"/>
      <c r="K25" s="93" t="str">
        <f aca="true">IF(AND(F25="",D25=""),"",IF(V25="Sí","✖️ Anulado",IF(O25&lt;&gt;"",IF(OR(Q25="Con incidencia",R25&lt;&gt;""),"⚠️ Llegó con incidencia",IF(AND(P25&lt;&gt;"",N(P25)&lt;N(G25)),"🧩 Llegó incompleto","✅ Recibido")),IF(C25="","🛒 Por pedir",IF(AND(N25&lt;&gt;"",TODAY()&gt;N(N25)),"🐢 Retrasado","📦 Pedido (esperando)")))))</f>
        <v/>
      </c>
      <c r="L25" s="94" t="str">
        <f aca="true">IF(OR(N25="",C25="",K25="",K25="✖️ Anulado"),"",IF(O25&lt;&gt;"",MAX(0,O25-N25),IF(TODAY()&gt;N25,TODAY()-N25,"")))</f>
        <v/>
      </c>
      <c r="M25" s="87"/>
      <c r="N25" s="95" t="str">
        <f aca="false">IF(M25&lt;&gt;"",M25,IF(OR(C25="",D25=""),"",IFERROR(IF(INDEX(Listas!$E$5:$E$60,MATCH(D25,Listas!$B$5:$B$60,0))="","",C25+INDEX(Listas!$E$5:$E$60,MATCH(D25,Listas!$B$5:$B$60,0))),"")))</f>
        <v/>
      </c>
      <c r="O25" s="87"/>
      <c r="P25" s="90"/>
      <c r="Q25" s="96"/>
      <c r="R25" s="89"/>
      <c r="S25" s="94" t="str">
        <f aca="false">IF(OR(C25="",O25="",K25="✖️ Anulado"),"",O25-C25)</f>
        <v/>
      </c>
      <c r="T25" s="87"/>
      <c r="U25" s="92" t="str">
        <f aca="false">IF(OR(O25="",K25="✖️ Anulado",AND(T25&lt;&gt;"",T25&lt;&gt;"No")),"",N(H25)*IF(P25="",N(G25),N(P25)))</f>
        <v/>
      </c>
      <c r="V25" s="96"/>
      <c r="W25" s="89"/>
    </row>
    <row r="26" customFormat="false" ht="21" hidden="false" customHeight="true" outlineLevel="0" collapsed="false">
      <c r="A26" s="74" t="n">
        <v>22</v>
      </c>
      <c r="B26" s="86"/>
      <c r="C26" s="87"/>
      <c r="D26" s="88"/>
      <c r="E26" s="89"/>
      <c r="F26" s="89"/>
      <c r="G26" s="90"/>
      <c r="H26" s="91"/>
      <c r="I26" s="92" t="str">
        <f aca="false">IF(OR(G26="",H26=""),"",G26*H26)</f>
        <v/>
      </c>
      <c r="J26" s="89"/>
      <c r="K26" s="93" t="str">
        <f aca="true">IF(AND(F26="",D26=""),"",IF(V26="Sí","✖️ Anulado",IF(O26&lt;&gt;"",IF(OR(Q26="Con incidencia",R26&lt;&gt;""),"⚠️ Llegó con incidencia",IF(AND(P26&lt;&gt;"",N(P26)&lt;N(G26)),"🧩 Llegó incompleto","✅ Recibido")),IF(C26="","🛒 Por pedir",IF(AND(N26&lt;&gt;"",TODAY()&gt;N(N26)),"🐢 Retrasado","📦 Pedido (esperando)")))))</f>
        <v/>
      </c>
      <c r="L26" s="94" t="str">
        <f aca="true">IF(OR(N26="",C26="",K26="",K26="✖️ Anulado"),"",IF(O26&lt;&gt;"",MAX(0,O26-N26),IF(TODAY()&gt;N26,TODAY()-N26,"")))</f>
        <v/>
      </c>
      <c r="M26" s="87"/>
      <c r="N26" s="95" t="str">
        <f aca="false">IF(M26&lt;&gt;"",M26,IF(OR(C26="",D26=""),"",IFERROR(IF(INDEX(Listas!$E$5:$E$60,MATCH(D26,Listas!$B$5:$B$60,0))="","",C26+INDEX(Listas!$E$5:$E$60,MATCH(D26,Listas!$B$5:$B$60,0))),"")))</f>
        <v/>
      </c>
      <c r="O26" s="87"/>
      <c r="P26" s="90"/>
      <c r="Q26" s="96"/>
      <c r="R26" s="89"/>
      <c r="S26" s="94" t="str">
        <f aca="false">IF(OR(C26="",O26="",K26="✖️ Anulado"),"",O26-C26)</f>
        <v/>
      </c>
      <c r="T26" s="87"/>
      <c r="U26" s="92" t="str">
        <f aca="false">IF(OR(O26="",K26="✖️ Anulado",AND(T26&lt;&gt;"",T26&lt;&gt;"No")),"",N(H26)*IF(P26="",N(G26),N(P26)))</f>
        <v/>
      </c>
      <c r="V26" s="96"/>
      <c r="W26" s="89"/>
    </row>
    <row r="27" customFormat="false" ht="21" hidden="false" customHeight="true" outlineLevel="0" collapsed="false">
      <c r="A27" s="74" t="n">
        <v>23</v>
      </c>
      <c r="B27" s="86"/>
      <c r="C27" s="87"/>
      <c r="D27" s="88"/>
      <c r="E27" s="89"/>
      <c r="F27" s="89"/>
      <c r="G27" s="90"/>
      <c r="H27" s="91"/>
      <c r="I27" s="92" t="str">
        <f aca="false">IF(OR(G27="",H27=""),"",G27*H27)</f>
        <v/>
      </c>
      <c r="J27" s="89"/>
      <c r="K27" s="93" t="str">
        <f aca="true">IF(AND(F27="",D27=""),"",IF(V27="Sí","✖️ Anulado",IF(O27&lt;&gt;"",IF(OR(Q27="Con incidencia",R27&lt;&gt;""),"⚠️ Llegó con incidencia",IF(AND(P27&lt;&gt;"",N(P27)&lt;N(G27)),"🧩 Llegó incompleto","✅ Recibido")),IF(C27="","🛒 Por pedir",IF(AND(N27&lt;&gt;"",TODAY()&gt;N(N27)),"🐢 Retrasado","📦 Pedido (esperando)")))))</f>
        <v/>
      </c>
      <c r="L27" s="94" t="str">
        <f aca="true">IF(OR(N27="",C27="",K27="",K27="✖️ Anulado"),"",IF(O27&lt;&gt;"",MAX(0,O27-N27),IF(TODAY()&gt;N27,TODAY()-N27,"")))</f>
        <v/>
      </c>
      <c r="M27" s="87"/>
      <c r="N27" s="95" t="str">
        <f aca="false">IF(M27&lt;&gt;"",M27,IF(OR(C27="",D27=""),"",IFERROR(IF(INDEX(Listas!$E$5:$E$60,MATCH(D27,Listas!$B$5:$B$60,0))="","",C27+INDEX(Listas!$E$5:$E$60,MATCH(D27,Listas!$B$5:$B$60,0))),"")))</f>
        <v/>
      </c>
      <c r="O27" s="87"/>
      <c r="P27" s="90"/>
      <c r="Q27" s="96"/>
      <c r="R27" s="89"/>
      <c r="S27" s="94" t="str">
        <f aca="false">IF(OR(C27="",O27="",K27="✖️ Anulado"),"",O27-C27)</f>
        <v/>
      </c>
      <c r="T27" s="87"/>
      <c r="U27" s="92" t="str">
        <f aca="false">IF(OR(O27="",K27="✖️ Anulado",AND(T27&lt;&gt;"",T27&lt;&gt;"No")),"",N(H27)*IF(P27="",N(G27),N(P27)))</f>
        <v/>
      </c>
      <c r="V27" s="96"/>
      <c r="W27" s="89"/>
    </row>
    <row r="28" customFormat="false" ht="21" hidden="false" customHeight="true" outlineLevel="0" collapsed="false">
      <c r="A28" s="74" t="n">
        <v>24</v>
      </c>
      <c r="B28" s="86"/>
      <c r="C28" s="87"/>
      <c r="D28" s="88"/>
      <c r="E28" s="89"/>
      <c r="F28" s="89"/>
      <c r="G28" s="90"/>
      <c r="H28" s="91"/>
      <c r="I28" s="92" t="str">
        <f aca="false">IF(OR(G28="",H28=""),"",G28*H28)</f>
        <v/>
      </c>
      <c r="J28" s="89"/>
      <c r="K28" s="93" t="str">
        <f aca="true">IF(AND(F28="",D28=""),"",IF(V28="Sí","✖️ Anulado",IF(O28&lt;&gt;"",IF(OR(Q28="Con incidencia",R28&lt;&gt;""),"⚠️ Llegó con incidencia",IF(AND(P28&lt;&gt;"",N(P28)&lt;N(G28)),"🧩 Llegó incompleto","✅ Recibido")),IF(C28="","🛒 Por pedir",IF(AND(N28&lt;&gt;"",TODAY()&gt;N(N28)),"🐢 Retrasado","📦 Pedido (esperando)")))))</f>
        <v/>
      </c>
      <c r="L28" s="94" t="str">
        <f aca="true">IF(OR(N28="",C28="",K28="",K28="✖️ Anulado"),"",IF(O28&lt;&gt;"",MAX(0,O28-N28),IF(TODAY()&gt;N28,TODAY()-N28,"")))</f>
        <v/>
      </c>
      <c r="M28" s="87"/>
      <c r="N28" s="95" t="str">
        <f aca="false">IF(M28&lt;&gt;"",M28,IF(OR(C28="",D28=""),"",IFERROR(IF(INDEX(Listas!$E$5:$E$60,MATCH(D28,Listas!$B$5:$B$60,0))="","",C28+INDEX(Listas!$E$5:$E$60,MATCH(D28,Listas!$B$5:$B$60,0))),"")))</f>
        <v/>
      </c>
      <c r="O28" s="87"/>
      <c r="P28" s="90"/>
      <c r="Q28" s="96"/>
      <c r="R28" s="89"/>
      <c r="S28" s="94" t="str">
        <f aca="false">IF(OR(C28="",O28="",K28="✖️ Anulado"),"",O28-C28)</f>
        <v/>
      </c>
      <c r="T28" s="87"/>
      <c r="U28" s="92" t="str">
        <f aca="false">IF(OR(O28="",K28="✖️ Anulado",AND(T28&lt;&gt;"",T28&lt;&gt;"No")),"",N(H28)*IF(P28="",N(G28),N(P28)))</f>
        <v/>
      </c>
      <c r="V28" s="96"/>
      <c r="W28" s="89"/>
    </row>
    <row r="29" customFormat="false" ht="21" hidden="false" customHeight="true" outlineLevel="0" collapsed="false">
      <c r="A29" s="74" t="n">
        <v>25</v>
      </c>
      <c r="B29" s="86"/>
      <c r="C29" s="87"/>
      <c r="D29" s="88"/>
      <c r="E29" s="89"/>
      <c r="F29" s="89"/>
      <c r="G29" s="90"/>
      <c r="H29" s="91"/>
      <c r="I29" s="92" t="str">
        <f aca="false">IF(OR(G29="",H29=""),"",G29*H29)</f>
        <v/>
      </c>
      <c r="J29" s="89"/>
      <c r="K29" s="93" t="str">
        <f aca="true">IF(AND(F29="",D29=""),"",IF(V29="Sí","✖️ Anulado",IF(O29&lt;&gt;"",IF(OR(Q29="Con incidencia",R29&lt;&gt;""),"⚠️ Llegó con incidencia",IF(AND(P29&lt;&gt;"",N(P29)&lt;N(G29)),"🧩 Llegó incompleto","✅ Recibido")),IF(C29="","🛒 Por pedir",IF(AND(N29&lt;&gt;"",TODAY()&gt;N(N29)),"🐢 Retrasado","📦 Pedido (esperando)")))))</f>
        <v/>
      </c>
      <c r="L29" s="94" t="str">
        <f aca="true">IF(OR(N29="",C29="",K29="",K29="✖️ Anulado"),"",IF(O29&lt;&gt;"",MAX(0,O29-N29),IF(TODAY()&gt;N29,TODAY()-N29,"")))</f>
        <v/>
      </c>
      <c r="M29" s="87"/>
      <c r="N29" s="95" t="str">
        <f aca="false">IF(M29&lt;&gt;"",M29,IF(OR(C29="",D29=""),"",IFERROR(IF(INDEX(Listas!$E$5:$E$60,MATCH(D29,Listas!$B$5:$B$60,0))="","",C29+INDEX(Listas!$E$5:$E$60,MATCH(D29,Listas!$B$5:$B$60,0))),"")))</f>
        <v/>
      </c>
      <c r="O29" s="87"/>
      <c r="P29" s="90"/>
      <c r="Q29" s="96"/>
      <c r="R29" s="89"/>
      <c r="S29" s="94" t="str">
        <f aca="false">IF(OR(C29="",O29="",K29="✖️ Anulado"),"",O29-C29)</f>
        <v/>
      </c>
      <c r="T29" s="87"/>
      <c r="U29" s="92" t="str">
        <f aca="false">IF(OR(O29="",K29="✖️ Anulado",AND(T29&lt;&gt;"",T29&lt;&gt;"No")),"",N(H29)*IF(P29="",N(G29),N(P29)))</f>
        <v/>
      </c>
      <c r="V29" s="96"/>
      <c r="W29" s="89"/>
    </row>
    <row r="30" customFormat="false" ht="21" hidden="false" customHeight="true" outlineLevel="0" collapsed="false">
      <c r="A30" s="74" t="n">
        <v>26</v>
      </c>
      <c r="B30" s="86"/>
      <c r="C30" s="87"/>
      <c r="D30" s="88"/>
      <c r="E30" s="89"/>
      <c r="F30" s="89"/>
      <c r="G30" s="90"/>
      <c r="H30" s="91"/>
      <c r="I30" s="92" t="str">
        <f aca="false">IF(OR(G30="",H30=""),"",G30*H30)</f>
        <v/>
      </c>
      <c r="J30" s="89"/>
      <c r="K30" s="93" t="str">
        <f aca="true">IF(AND(F30="",D30=""),"",IF(V30="Sí","✖️ Anulado",IF(O30&lt;&gt;"",IF(OR(Q30="Con incidencia",R30&lt;&gt;""),"⚠️ Llegó con incidencia",IF(AND(P30&lt;&gt;"",N(P30)&lt;N(G30)),"🧩 Llegó incompleto","✅ Recibido")),IF(C30="","🛒 Por pedir",IF(AND(N30&lt;&gt;"",TODAY()&gt;N(N30)),"🐢 Retrasado","📦 Pedido (esperando)")))))</f>
        <v/>
      </c>
      <c r="L30" s="94" t="str">
        <f aca="true">IF(OR(N30="",C30="",K30="",K30="✖️ Anulado"),"",IF(O30&lt;&gt;"",MAX(0,O30-N30),IF(TODAY()&gt;N30,TODAY()-N30,"")))</f>
        <v/>
      </c>
      <c r="M30" s="87"/>
      <c r="N30" s="95" t="str">
        <f aca="false">IF(M30&lt;&gt;"",M30,IF(OR(C30="",D30=""),"",IFERROR(IF(INDEX(Listas!$E$5:$E$60,MATCH(D30,Listas!$B$5:$B$60,0))="","",C30+INDEX(Listas!$E$5:$E$60,MATCH(D30,Listas!$B$5:$B$60,0))),"")))</f>
        <v/>
      </c>
      <c r="O30" s="87"/>
      <c r="P30" s="90"/>
      <c r="Q30" s="96"/>
      <c r="R30" s="89"/>
      <c r="S30" s="94" t="str">
        <f aca="false">IF(OR(C30="",O30="",K30="✖️ Anulado"),"",O30-C30)</f>
        <v/>
      </c>
      <c r="T30" s="87"/>
      <c r="U30" s="92" t="str">
        <f aca="false">IF(OR(O30="",K30="✖️ Anulado",AND(T30&lt;&gt;"",T30&lt;&gt;"No")),"",N(H30)*IF(P30="",N(G30),N(P30)))</f>
        <v/>
      </c>
      <c r="V30" s="96"/>
      <c r="W30" s="89"/>
    </row>
    <row r="31" customFormat="false" ht="21" hidden="false" customHeight="true" outlineLevel="0" collapsed="false">
      <c r="A31" s="74" t="n">
        <v>27</v>
      </c>
      <c r="B31" s="86"/>
      <c r="C31" s="87"/>
      <c r="D31" s="88"/>
      <c r="E31" s="89"/>
      <c r="F31" s="89"/>
      <c r="G31" s="90"/>
      <c r="H31" s="91"/>
      <c r="I31" s="92" t="str">
        <f aca="false">IF(OR(G31="",H31=""),"",G31*H31)</f>
        <v/>
      </c>
      <c r="J31" s="89"/>
      <c r="K31" s="93" t="str">
        <f aca="true">IF(AND(F31="",D31=""),"",IF(V31="Sí","✖️ Anulado",IF(O31&lt;&gt;"",IF(OR(Q31="Con incidencia",R31&lt;&gt;""),"⚠️ Llegó con incidencia",IF(AND(P31&lt;&gt;"",N(P31)&lt;N(G31)),"🧩 Llegó incompleto","✅ Recibido")),IF(C31="","🛒 Por pedir",IF(AND(N31&lt;&gt;"",TODAY()&gt;N(N31)),"🐢 Retrasado","📦 Pedido (esperando)")))))</f>
        <v/>
      </c>
      <c r="L31" s="94" t="str">
        <f aca="true">IF(OR(N31="",C31="",K31="",K31="✖️ Anulado"),"",IF(O31&lt;&gt;"",MAX(0,O31-N31),IF(TODAY()&gt;N31,TODAY()-N31,"")))</f>
        <v/>
      </c>
      <c r="M31" s="87"/>
      <c r="N31" s="95" t="str">
        <f aca="false">IF(M31&lt;&gt;"",M31,IF(OR(C31="",D31=""),"",IFERROR(IF(INDEX(Listas!$E$5:$E$60,MATCH(D31,Listas!$B$5:$B$60,0))="","",C31+INDEX(Listas!$E$5:$E$60,MATCH(D31,Listas!$B$5:$B$60,0))),"")))</f>
        <v/>
      </c>
      <c r="O31" s="87"/>
      <c r="P31" s="90"/>
      <c r="Q31" s="96"/>
      <c r="R31" s="89"/>
      <c r="S31" s="94" t="str">
        <f aca="false">IF(OR(C31="",O31="",K31="✖️ Anulado"),"",O31-C31)</f>
        <v/>
      </c>
      <c r="T31" s="87"/>
      <c r="U31" s="92" t="str">
        <f aca="false">IF(OR(O31="",K31="✖️ Anulado",AND(T31&lt;&gt;"",T31&lt;&gt;"No")),"",N(H31)*IF(P31="",N(G31),N(P31)))</f>
        <v/>
      </c>
      <c r="V31" s="96"/>
      <c r="W31" s="89"/>
    </row>
    <row r="32" customFormat="false" ht="21" hidden="false" customHeight="true" outlineLevel="0" collapsed="false">
      <c r="A32" s="74" t="n">
        <v>28</v>
      </c>
      <c r="B32" s="86"/>
      <c r="C32" s="87"/>
      <c r="D32" s="88"/>
      <c r="E32" s="89"/>
      <c r="F32" s="89"/>
      <c r="G32" s="90"/>
      <c r="H32" s="91"/>
      <c r="I32" s="92" t="str">
        <f aca="false">IF(OR(G32="",H32=""),"",G32*H32)</f>
        <v/>
      </c>
      <c r="J32" s="89"/>
      <c r="K32" s="93" t="str">
        <f aca="true">IF(AND(F32="",D32=""),"",IF(V32="Sí","✖️ Anulado",IF(O32&lt;&gt;"",IF(OR(Q32="Con incidencia",R32&lt;&gt;""),"⚠️ Llegó con incidencia",IF(AND(P32&lt;&gt;"",N(P32)&lt;N(G32)),"🧩 Llegó incompleto","✅ Recibido")),IF(C32="","🛒 Por pedir",IF(AND(N32&lt;&gt;"",TODAY()&gt;N(N32)),"🐢 Retrasado","📦 Pedido (esperando)")))))</f>
        <v/>
      </c>
      <c r="L32" s="94" t="str">
        <f aca="true">IF(OR(N32="",C32="",K32="",K32="✖️ Anulado"),"",IF(O32&lt;&gt;"",MAX(0,O32-N32),IF(TODAY()&gt;N32,TODAY()-N32,"")))</f>
        <v/>
      </c>
      <c r="M32" s="87"/>
      <c r="N32" s="95" t="str">
        <f aca="false">IF(M32&lt;&gt;"",M32,IF(OR(C32="",D32=""),"",IFERROR(IF(INDEX(Listas!$E$5:$E$60,MATCH(D32,Listas!$B$5:$B$60,0))="","",C32+INDEX(Listas!$E$5:$E$60,MATCH(D32,Listas!$B$5:$B$60,0))),"")))</f>
        <v/>
      </c>
      <c r="O32" s="87"/>
      <c r="P32" s="90"/>
      <c r="Q32" s="96"/>
      <c r="R32" s="89"/>
      <c r="S32" s="94" t="str">
        <f aca="false">IF(OR(C32="",O32="",K32="✖️ Anulado"),"",O32-C32)</f>
        <v/>
      </c>
      <c r="T32" s="87"/>
      <c r="U32" s="92" t="str">
        <f aca="false">IF(OR(O32="",K32="✖️ Anulado",AND(T32&lt;&gt;"",T32&lt;&gt;"No")),"",N(H32)*IF(P32="",N(G32),N(P32)))</f>
        <v/>
      </c>
      <c r="V32" s="96"/>
      <c r="W32" s="89"/>
    </row>
    <row r="33" customFormat="false" ht="21" hidden="false" customHeight="true" outlineLevel="0" collapsed="false">
      <c r="A33" s="74" t="n">
        <v>29</v>
      </c>
      <c r="B33" s="86"/>
      <c r="C33" s="87"/>
      <c r="D33" s="88"/>
      <c r="E33" s="89"/>
      <c r="F33" s="89"/>
      <c r="G33" s="90"/>
      <c r="H33" s="91"/>
      <c r="I33" s="92" t="str">
        <f aca="false">IF(OR(G33="",H33=""),"",G33*H33)</f>
        <v/>
      </c>
      <c r="J33" s="89"/>
      <c r="K33" s="93" t="str">
        <f aca="true">IF(AND(F33="",D33=""),"",IF(V33="Sí","✖️ Anulado",IF(O33&lt;&gt;"",IF(OR(Q33="Con incidencia",R33&lt;&gt;""),"⚠️ Llegó con incidencia",IF(AND(P33&lt;&gt;"",N(P33)&lt;N(G33)),"🧩 Llegó incompleto","✅ Recibido")),IF(C33="","🛒 Por pedir",IF(AND(N33&lt;&gt;"",TODAY()&gt;N(N33)),"🐢 Retrasado","📦 Pedido (esperando)")))))</f>
        <v/>
      </c>
      <c r="L33" s="94" t="str">
        <f aca="true">IF(OR(N33="",C33="",K33="",K33="✖️ Anulado"),"",IF(O33&lt;&gt;"",MAX(0,O33-N33),IF(TODAY()&gt;N33,TODAY()-N33,"")))</f>
        <v/>
      </c>
      <c r="M33" s="87"/>
      <c r="N33" s="95" t="str">
        <f aca="false">IF(M33&lt;&gt;"",M33,IF(OR(C33="",D33=""),"",IFERROR(IF(INDEX(Listas!$E$5:$E$60,MATCH(D33,Listas!$B$5:$B$60,0))="","",C33+INDEX(Listas!$E$5:$E$60,MATCH(D33,Listas!$B$5:$B$60,0))),"")))</f>
        <v/>
      </c>
      <c r="O33" s="87"/>
      <c r="P33" s="90"/>
      <c r="Q33" s="96"/>
      <c r="R33" s="89"/>
      <c r="S33" s="94" t="str">
        <f aca="false">IF(OR(C33="",O33="",K33="✖️ Anulado"),"",O33-C33)</f>
        <v/>
      </c>
      <c r="T33" s="87"/>
      <c r="U33" s="92" t="str">
        <f aca="false">IF(OR(O33="",K33="✖️ Anulado",AND(T33&lt;&gt;"",T33&lt;&gt;"No")),"",N(H33)*IF(P33="",N(G33),N(P33)))</f>
        <v/>
      </c>
      <c r="V33" s="96"/>
      <c r="W33" s="89"/>
    </row>
    <row r="34" customFormat="false" ht="21" hidden="false" customHeight="true" outlineLevel="0" collapsed="false">
      <c r="A34" s="74" t="n">
        <v>30</v>
      </c>
      <c r="B34" s="86"/>
      <c r="C34" s="87"/>
      <c r="D34" s="88"/>
      <c r="E34" s="89"/>
      <c r="F34" s="89"/>
      <c r="G34" s="90"/>
      <c r="H34" s="91"/>
      <c r="I34" s="92" t="str">
        <f aca="false">IF(OR(G34="",H34=""),"",G34*H34)</f>
        <v/>
      </c>
      <c r="J34" s="89"/>
      <c r="K34" s="93" t="str">
        <f aca="true">IF(AND(F34="",D34=""),"",IF(V34="Sí","✖️ Anulado",IF(O34&lt;&gt;"",IF(OR(Q34="Con incidencia",R34&lt;&gt;""),"⚠️ Llegó con incidencia",IF(AND(P34&lt;&gt;"",N(P34)&lt;N(G34)),"🧩 Llegó incompleto","✅ Recibido")),IF(C34="","🛒 Por pedir",IF(AND(N34&lt;&gt;"",TODAY()&gt;N(N34)),"🐢 Retrasado","📦 Pedido (esperando)")))))</f>
        <v/>
      </c>
      <c r="L34" s="94" t="str">
        <f aca="true">IF(OR(N34="",C34="",K34="",K34="✖️ Anulado"),"",IF(O34&lt;&gt;"",MAX(0,O34-N34),IF(TODAY()&gt;N34,TODAY()-N34,"")))</f>
        <v/>
      </c>
      <c r="M34" s="87"/>
      <c r="N34" s="95" t="str">
        <f aca="false">IF(M34&lt;&gt;"",M34,IF(OR(C34="",D34=""),"",IFERROR(IF(INDEX(Listas!$E$5:$E$60,MATCH(D34,Listas!$B$5:$B$60,0))="","",C34+INDEX(Listas!$E$5:$E$60,MATCH(D34,Listas!$B$5:$B$60,0))),"")))</f>
        <v/>
      </c>
      <c r="O34" s="87"/>
      <c r="P34" s="90"/>
      <c r="Q34" s="96"/>
      <c r="R34" s="89"/>
      <c r="S34" s="94" t="str">
        <f aca="false">IF(OR(C34="",O34="",K34="✖️ Anulado"),"",O34-C34)</f>
        <v/>
      </c>
      <c r="T34" s="87"/>
      <c r="U34" s="92" t="str">
        <f aca="false">IF(OR(O34="",K34="✖️ Anulado",AND(T34&lt;&gt;"",T34&lt;&gt;"No")),"",N(H34)*IF(P34="",N(G34),N(P34)))</f>
        <v/>
      </c>
      <c r="V34" s="96"/>
      <c r="W34" s="89"/>
    </row>
    <row r="35" customFormat="false" ht="21" hidden="false" customHeight="true" outlineLevel="0" collapsed="false">
      <c r="A35" s="74" t="n">
        <v>31</v>
      </c>
      <c r="B35" s="86"/>
      <c r="C35" s="87"/>
      <c r="D35" s="88"/>
      <c r="E35" s="89"/>
      <c r="F35" s="89"/>
      <c r="G35" s="90"/>
      <c r="H35" s="91"/>
      <c r="I35" s="92" t="str">
        <f aca="false">IF(OR(G35="",H35=""),"",G35*H35)</f>
        <v/>
      </c>
      <c r="J35" s="89"/>
      <c r="K35" s="93" t="str">
        <f aca="true">IF(AND(F35="",D35=""),"",IF(V35="Sí","✖️ Anulado",IF(O35&lt;&gt;"",IF(OR(Q35="Con incidencia",R35&lt;&gt;""),"⚠️ Llegó con incidencia",IF(AND(P35&lt;&gt;"",N(P35)&lt;N(G35)),"🧩 Llegó incompleto","✅ Recibido")),IF(C35="","🛒 Por pedir",IF(AND(N35&lt;&gt;"",TODAY()&gt;N(N35)),"🐢 Retrasado","📦 Pedido (esperando)")))))</f>
        <v/>
      </c>
      <c r="L35" s="94" t="str">
        <f aca="true">IF(OR(N35="",C35="",K35="",K35="✖️ Anulado"),"",IF(O35&lt;&gt;"",MAX(0,O35-N35),IF(TODAY()&gt;N35,TODAY()-N35,"")))</f>
        <v/>
      </c>
      <c r="M35" s="87"/>
      <c r="N35" s="95" t="str">
        <f aca="false">IF(M35&lt;&gt;"",M35,IF(OR(C35="",D35=""),"",IFERROR(IF(INDEX(Listas!$E$5:$E$60,MATCH(D35,Listas!$B$5:$B$60,0))="","",C35+INDEX(Listas!$E$5:$E$60,MATCH(D35,Listas!$B$5:$B$60,0))),"")))</f>
        <v/>
      </c>
      <c r="O35" s="87"/>
      <c r="P35" s="90"/>
      <c r="Q35" s="96"/>
      <c r="R35" s="89"/>
      <c r="S35" s="94" t="str">
        <f aca="false">IF(OR(C35="",O35="",K35="✖️ Anulado"),"",O35-C35)</f>
        <v/>
      </c>
      <c r="T35" s="87"/>
      <c r="U35" s="92" t="str">
        <f aca="false">IF(OR(O35="",K35="✖️ Anulado",AND(T35&lt;&gt;"",T35&lt;&gt;"No")),"",N(H35)*IF(P35="",N(G35),N(P35)))</f>
        <v/>
      </c>
      <c r="V35" s="96"/>
      <c r="W35" s="89"/>
    </row>
    <row r="36" customFormat="false" ht="21" hidden="false" customHeight="true" outlineLevel="0" collapsed="false">
      <c r="A36" s="74" t="n">
        <v>32</v>
      </c>
      <c r="B36" s="86"/>
      <c r="C36" s="87"/>
      <c r="D36" s="88"/>
      <c r="E36" s="89"/>
      <c r="F36" s="89"/>
      <c r="G36" s="90"/>
      <c r="H36" s="91"/>
      <c r="I36" s="92" t="str">
        <f aca="false">IF(OR(G36="",H36=""),"",G36*H36)</f>
        <v/>
      </c>
      <c r="J36" s="89"/>
      <c r="K36" s="93" t="str">
        <f aca="true">IF(AND(F36="",D36=""),"",IF(V36="Sí","✖️ Anulado",IF(O36&lt;&gt;"",IF(OR(Q36="Con incidencia",R36&lt;&gt;""),"⚠️ Llegó con incidencia",IF(AND(P36&lt;&gt;"",N(P36)&lt;N(G36)),"🧩 Llegó incompleto","✅ Recibido")),IF(C36="","🛒 Por pedir",IF(AND(N36&lt;&gt;"",TODAY()&gt;N(N36)),"🐢 Retrasado","📦 Pedido (esperando)")))))</f>
        <v/>
      </c>
      <c r="L36" s="94" t="str">
        <f aca="true">IF(OR(N36="",C36="",K36="",K36="✖️ Anulado"),"",IF(O36&lt;&gt;"",MAX(0,O36-N36),IF(TODAY()&gt;N36,TODAY()-N36,"")))</f>
        <v/>
      </c>
      <c r="M36" s="87"/>
      <c r="N36" s="95" t="str">
        <f aca="false">IF(M36&lt;&gt;"",M36,IF(OR(C36="",D36=""),"",IFERROR(IF(INDEX(Listas!$E$5:$E$60,MATCH(D36,Listas!$B$5:$B$60,0))="","",C36+INDEX(Listas!$E$5:$E$60,MATCH(D36,Listas!$B$5:$B$60,0))),"")))</f>
        <v/>
      </c>
      <c r="O36" s="87"/>
      <c r="P36" s="90"/>
      <c r="Q36" s="96"/>
      <c r="R36" s="89"/>
      <c r="S36" s="94" t="str">
        <f aca="false">IF(OR(C36="",O36="",K36="✖️ Anulado"),"",O36-C36)</f>
        <v/>
      </c>
      <c r="T36" s="87"/>
      <c r="U36" s="92" t="str">
        <f aca="false">IF(OR(O36="",K36="✖️ Anulado",AND(T36&lt;&gt;"",T36&lt;&gt;"No")),"",N(H36)*IF(P36="",N(G36),N(P36)))</f>
        <v/>
      </c>
      <c r="V36" s="96"/>
      <c r="W36" s="89"/>
    </row>
    <row r="37" customFormat="false" ht="21" hidden="false" customHeight="true" outlineLevel="0" collapsed="false">
      <c r="A37" s="74" t="n">
        <v>33</v>
      </c>
      <c r="B37" s="86"/>
      <c r="C37" s="87"/>
      <c r="D37" s="88"/>
      <c r="E37" s="89"/>
      <c r="F37" s="89"/>
      <c r="G37" s="90"/>
      <c r="H37" s="91"/>
      <c r="I37" s="92" t="str">
        <f aca="false">IF(OR(G37="",H37=""),"",G37*H37)</f>
        <v/>
      </c>
      <c r="J37" s="89"/>
      <c r="K37" s="93" t="str">
        <f aca="true">IF(AND(F37="",D37=""),"",IF(V37="Sí","✖️ Anulado",IF(O37&lt;&gt;"",IF(OR(Q37="Con incidencia",R37&lt;&gt;""),"⚠️ Llegó con incidencia",IF(AND(P37&lt;&gt;"",N(P37)&lt;N(G37)),"🧩 Llegó incompleto","✅ Recibido")),IF(C37="","🛒 Por pedir",IF(AND(N37&lt;&gt;"",TODAY()&gt;N(N37)),"🐢 Retrasado","📦 Pedido (esperando)")))))</f>
        <v/>
      </c>
      <c r="L37" s="94" t="str">
        <f aca="true">IF(OR(N37="",C37="",K37="",K37="✖️ Anulado"),"",IF(O37&lt;&gt;"",MAX(0,O37-N37),IF(TODAY()&gt;N37,TODAY()-N37,"")))</f>
        <v/>
      </c>
      <c r="M37" s="87"/>
      <c r="N37" s="95" t="str">
        <f aca="false">IF(M37&lt;&gt;"",M37,IF(OR(C37="",D37=""),"",IFERROR(IF(INDEX(Listas!$E$5:$E$60,MATCH(D37,Listas!$B$5:$B$60,0))="","",C37+INDEX(Listas!$E$5:$E$60,MATCH(D37,Listas!$B$5:$B$60,0))),"")))</f>
        <v/>
      </c>
      <c r="O37" s="87"/>
      <c r="P37" s="90"/>
      <c r="Q37" s="96"/>
      <c r="R37" s="89"/>
      <c r="S37" s="94" t="str">
        <f aca="false">IF(OR(C37="",O37="",K37="✖️ Anulado"),"",O37-C37)</f>
        <v/>
      </c>
      <c r="T37" s="87"/>
      <c r="U37" s="92" t="str">
        <f aca="false">IF(OR(O37="",K37="✖️ Anulado",AND(T37&lt;&gt;"",T37&lt;&gt;"No")),"",N(H37)*IF(P37="",N(G37),N(P37)))</f>
        <v/>
      </c>
      <c r="V37" s="96"/>
      <c r="W37" s="89"/>
    </row>
    <row r="38" customFormat="false" ht="21" hidden="false" customHeight="true" outlineLevel="0" collapsed="false">
      <c r="A38" s="74" t="n">
        <v>34</v>
      </c>
      <c r="B38" s="86"/>
      <c r="C38" s="87"/>
      <c r="D38" s="88"/>
      <c r="E38" s="89"/>
      <c r="F38" s="89"/>
      <c r="G38" s="90"/>
      <c r="H38" s="91"/>
      <c r="I38" s="92" t="str">
        <f aca="false">IF(OR(G38="",H38=""),"",G38*H38)</f>
        <v/>
      </c>
      <c r="J38" s="89"/>
      <c r="K38" s="93" t="str">
        <f aca="true">IF(AND(F38="",D38=""),"",IF(V38="Sí","✖️ Anulado",IF(O38&lt;&gt;"",IF(OR(Q38="Con incidencia",R38&lt;&gt;""),"⚠️ Llegó con incidencia",IF(AND(P38&lt;&gt;"",N(P38)&lt;N(G38)),"🧩 Llegó incompleto","✅ Recibido")),IF(C38="","🛒 Por pedir",IF(AND(N38&lt;&gt;"",TODAY()&gt;N(N38)),"🐢 Retrasado","📦 Pedido (esperando)")))))</f>
        <v/>
      </c>
      <c r="L38" s="94" t="str">
        <f aca="true">IF(OR(N38="",C38="",K38="",K38="✖️ Anulado"),"",IF(O38&lt;&gt;"",MAX(0,O38-N38),IF(TODAY()&gt;N38,TODAY()-N38,"")))</f>
        <v/>
      </c>
      <c r="M38" s="87"/>
      <c r="N38" s="95" t="str">
        <f aca="false">IF(M38&lt;&gt;"",M38,IF(OR(C38="",D38=""),"",IFERROR(IF(INDEX(Listas!$E$5:$E$60,MATCH(D38,Listas!$B$5:$B$60,0))="","",C38+INDEX(Listas!$E$5:$E$60,MATCH(D38,Listas!$B$5:$B$60,0))),"")))</f>
        <v/>
      </c>
      <c r="O38" s="87"/>
      <c r="P38" s="90"/>
      <c r="Q38" s="96"/>
      <c r="R38" s="89"/>
      <c r="S38" s="94" t="str">
        <f aca="false">IF(OR(C38="",O38="",K38="✖️ Anulado"),"",O38-C38)</f>
        <v/>
      </c>
      <c r="T38" s="87"/>
      <c r="U38" s="92" t="str">
        <f aca="false">IF(OR(O38="",K38="✖️ Anulado",AND(T38&lt;&gt;"",T38&lt;&gt;"No")),"",N(H38)*IF(P38="",N(G38),N(P38)))</f>
        <v/>
      </c>
      <c r="V38" s="96"/>
      <c r="W38" s="89"/>
    </row>
    <row r="39" customFormat="false" ht="21" hidden="false" customHeight="true" outlineLevel="0" collapsed="false">
      <c r="A39" s="74" t="n">
        <v>35</v>
      </c>
      <c r="B39" s="86"/>
      <c r="C39" s="87"/>
      <c r="D39" s="88"/>
      <c r="E39" s="89"/>
      <c r="F39" s="89"/>
      <c r="G39" s="90"/>
      <c r="H39" s="91"/>
      <c r="I39" s="92" t="str">
        <f aca="false">IF(OR(G39="",H39=""),"",G39*H39)</f>
        <v/>
      </c>
      <c r="J39" s="89"/>
      <c r="K39" s="93" t="str">
        <f aca="true">IF(AND(F39="",D39=""),"",IF(V39="Sí","✖️ Anulado",IF(O39&lt;&gt;"",IF(OR(Q39="Con incidencia",R39&lt;&gt;""),"⚠️ Llegó con incidencia",IF(AND(P39&lt;&gt;"",N(P39)&lt;N(G39)),"🧩 Llegó incompleto","✅ Recibido")),IF(C39="","🛒 Por pedir",IF(AND(N39&lt;&gt;"",TODAY()&gt;N(N39)),"🐢 Retrasado","📦 Pedido (esperando)")))))</f>
        <v/>
      </c>
      <c r="L39" s="94" t="str">
        <f aca="true">IF(OR(N39="",C39="",K39="",K39="✖️ Anulado"),"",IF(O39&lt;&gt;"",MAX(0,O39-N39),IF(TODAY()&gt;N39,TODAY()-N39,"")))</f>
        <v/>
      </c>
      <c r="M39" s="87"/>
      <c r="N39" s="95" t="str">
        <f aca="false">IF(M39&lt;&gt;"",M39,IF(OR(C39="",D39=""),"",IFERROR(IF(INDEX(Listas!$E$5:$E$60,MATCH(D39,Listas!$B$5:$B$60,0))="","",C39+INDEX(Listas!$E$5:$E$60,MATCH(D39,Listas!$B$5:$B$60,0))),"")))</f>
        <v/>
      </c>
      <c r="O39" s="87"/>
      <c r="P39" s="90"/>
      <c r="Q39" s="96"/>
      <c r="R39" s="89"/>
      <c r="S39" s="94" t="str">
        <f aca="false">IF(OR(C39="",O39="",K39="✖️ Anulado"),"",O39-C39)</f>
        <v/>
      </c>
      <c r="T39" s="87"/>
      <c r="U39" s="92" t="str">
        <f aca="false">IF(OR(O39="",K39="✖️ Anulado",AND(T39&lt;&gt;"",T39&lt;&gt;"No")),"",N(H39)*IF(P39="",N(G39),N(P39)))</f>
        <v/>
      </c>
      <c r="V39" s="96"/>
      <c r="W39" s="89"/>
    </row>
    <row r="40" customFormat="false" ht="21" hidden="false" customHeight="true" outlineLevel="0" collapsed="false">
      <c r="A40" s="74" t="n">
        <v>36</v>
      </c>
      <c r="B40" s="86"/>
      <c r="C40" s="87"/>
      <c r="D40" s="88"/>
      <c r="E40" s="89"/>
      <c r="F40" s="89"/>
      <c r="G40" s="90"/>
      <c r="H40" s="91"/>
      <c r="I40" s="92" t="str">
        <f aca="false">IF(OR(G40="",H40=""),"",G40*H40)</f>
        <v/>
      </c>
      <c r="J40" s="89"/>
      <c r="K40" s="93" t="str">
        <f aca="true">IF(AND(F40="",D40=""),"",IF(V40="Sí","✖️ Anulado",IF(O40&lt;&gt;"",IF(OR(Q40="Con incidencia",R40&lt;&gt;""),"⚠️ Llegó con incidencia",IF(AND(P40&lt;&gt;"",N(P40)&lt;N(G40)),"🧩 Llegó incompleto","✅ Recibido")),IF(C40="","🛒 Por pedir",IF(AND(N40&lt;&gt;"",TODAY()&gt;N(N40)),"🐢 Retrasado","📦 Pedido (esperando)")))))</f>
        <v/>
      </c>
      <c r="L40" s="94" t="str">
        <f aca="true">IF(OR(N40="",C40="",K40="",K40="✖️ Anulado"),"",IF(O40&lt;&gt;"",MAX(0,O40-N40),IF(TODAY()&gt;N40,TODAY()-N40,"")))</f>
        <v/>
      </c>
      <c r="M40" s="87"/>
      <c r="N40" s="95" t="str">
        <f aca="false">IF(M40&lt;&gt;"",M40,IF(OR(C40="",D40=""),"",IFERROR(IF(INDEX(Listas!$E$5:$E$60,MATCH(D40,Listas!$B$5:$B$60,0))="","",C40+INDEX(Listas!$E$5:$E$60,MATCH(D40,Listas!$B$5:$B$60,0))),"")))</f>
        <v/>
      </c>
      <c r="O40" s="87"/>
      <c r="P40" s="90"/>
      <c r="Q40" s="96"/>
      <c r="R40" s="89"/>
      <c r="S40" s="94" t="str">
        <f aca="false">IF(OR(C40="",O40="",K40="✖️ Anulado"),"",O40-C40)</f>
        <v/>
      </c>
      <c r="T40" s="87"/>
      <c r="U40" s="92" t="str">
        <f aca="false">IF(OR(O40="",K40="✖️ Anulado",AND(T40&lt;&gt;"",T40&lt;&gt;"No")),"",N(H40)*IF(P40="",N(G40),N(P40)))</f>
        <v/>
      </c>
      <c r="V40" s="96"/>
      <c r="W40" s="89"/>
    </row>
    <row r="41" customFormat="false" ht="21" hidden="false" customHeight="true" outlineLevel="0" collapsed="false">
      <c r="A41" s="74" t="n">
        <v>37</v>
      </c>
      <c r="B41" s="86"/>
      <c r="C41" s="87"/>
      <c r="D41" s="88"/>
      <c r="E41" s="89"/>
      <c r="F41" s="89"/>
      <c r="G41" s="90"/>
      <c r="H41" s="91"/>
      <c r="I41" s="92" t="str">
        <f aca="false">IF(OR(G41="",H41=""),"",G41*H41)</f>
        <v/>
      </c>
      <c r="J41" s="89"/>
      <c r="K41" s="93" t="str">
        <f aca="true">IF(AND(F41="",D41=""),"",IF(V41="Sí","✖️ Anulado",IF(O41&lt;&gt;"",IF(OR(Q41="Con incidencia",R41&lt;&gt;""),"⚠️ Llegó con incidencia",IF(AND(P41&lt;&gt;"",N(P41)&lt;N(G41)),"🧩 Llegó incompleto","✅ Recibido")),IF(C41="","🛒 Por pedir",IF(AND(N41&lt;&gt;"",TODAY()&gt;N(N41)),"🐢 Retrasado","📦 Pedido (esperando)")))))</f>
        <v/>
      </c>
      <c r="L41" s="94" t="str">
        <f aca="true">IF(OR(N41="",C41="",K41="",K41="✖️ Anulado"),"",IF(O41&lt;&gt;"",MAX(0,O41-N41),IF(TODAY()&gt;N41,TODAY()-N41,"")))</f>
        <v/>
      </c>
      <c r="M41" s="87"/>
      <c r="N41" s="95" t="str">
        <f aca="false">IF(M41&lt;&gt;"",M41,IF(OR(C41="",D41=""),"",IFERROR(IF(INDEX(Listas!$E$5:$E$60,MATCH(D41,Listas!$B$5:$B$60,0))="","",C41+INDEX(Listas!$E$5:$E$60,MATCH(D41,Listas!$B$5:$B$60,0))),"")))</f>
        <v/>
      </c>
      <c r="O41" s="87"/>
      <c r="P41" s="90"/>
      <c r="Q41" s="96"/>
      <c r="R41" s="89"/>
      <c r="S41" s="94" t="str">
        <f aca="false">IF(OR(C41="",O41="",K41="✖️ Anulado"),"",O41-C41)</f>
        <v/>
      </c>
      <c r="T41" s="87"/>
      <c r="U41" s="92" t="str">
        <f aca="false">IF(OR(O41="",K41="✖️ Anulado",AND(T41&lt;&gt;"",T41&lt;&gt;"No")),"",N(H41)*IF(P41="",N(G41),N(P41)))</f>
        <v/>
      </c>
      <c r="V41" s="96"/>
      <c r="W41" s="89"/>
    </row>
    <row r="42" customFormat="false" ht="21" hidden="false" customHeight="true" outlineLevel="0" collapsed="false">
      <c r="A42" s="74" t="n">
        <v>38</v>
      </c>
      <c r="B42" s="86"/>
      <c r="C42" s="87"/>
      <c r="D42" s="88"/>
      <c r="E42" s="89"/>
      <c r="F42" s="89"/>
      <c r="G42" s="90"/>
      <c r="H42" s="91"/>
      <c r="I42" s="92" t="str">
        <f aca="false">IF(OR(G42="",H42=""),"",G42*H42)</f>
        <v/>
      </c>
      <c r="J42" s="89"/>
      <c r="K42" s="93" t="str">
        <f aca="true">IF(AND(F42="",D42=""),"",IF(V42="Sí","✖️ Anulado",IF(O42&lt;&gt;"",IF(OR(Q42="Con incidencia",R42&lt;&gt;""),"⚠️ Llegó con incidencia",IF(AND(P42&lt;&gt;"",N(P42)&lt;N(G42)),"🧩 Llegó incompleto","✅ Recibido")),IF(C42="","🛒 Por pedir",IF(AND(N42&lt;&gt;"",TODAY()&gt;N(N42)),"🐢 Retrasado","📦 Pedido (esperando)")))))</f>
        <v/>
      </c>
      <c r="L42" s="94" t="str">
        <f aca="true">IF(OR(N42="",C42="",K42="",K42="✖️ Anulado"),"",IF(O42&lt;&gt;"",MAX(0,O42-N42),IF(TODAY()&gt;N42,TODAY()-N42,"")))</f>
        <v/>
      </c>
      <c r="M42" s="87"/>
      <c r="N42" s="95" t="str">
        <f aca="false">IF(M42&lt;&gt;"",M42,IF(OR(C42="",D42=""),"",IFERROR(IF(INDEX(Listas!$E$5:$E$60,MATCH(D42,Listas!$B$5:$B$60,0))="","",C42+INDEX(Listas!$E$5:$E$60,MATCH(D42,Listas!$B$5:$B$60,0))),"")))</f>
        <v/>
      </c>
      <c r="O42" s="87"/>
      <c r="P42" s="90"/>
      <c r="Q42" s="96"/>
      <c r="R42" s="89"/>
      <c r="S42" s="94" t="str">
        <f aca="false">IF(OR(C42="",O42="",K42="✖️ Anulado"),"",O42-C42)</f>
        <v/>
      </c>
      <c r="T42" s="87"/>
      <c r="U42" s="92" t="str">
        <f aca="false">IF(OR(O42="",K42="✖️ Anulado",AND(T42&lt;&gt;"",T42&lt;&gt;"No")),"",N(H42)*IF(P42="",N(G42),N(P42)))</f>
        <v/>
      </c>
      <c r="V42" s="96"/>
      <c r="W42" s="89"/>
    </row>
    <row r="43" customFormat="false" ht="21" hidden="false" customHeight="true" outlineLevel="0" collapsed="false">
      <c r="A43" s="74" t="n">
        <v>39</v>
      </c>
      <c r="B43" s="86"/>
      <c r="C43" s="87"/>
      <c r="D43" s="88"/>
      <c r="E43" s="89"/>
      <c r="F43" s="89"/>
      <c r="G43" s="90"/>
      <c r="H43" s="91"/>
      <c r="I43" s="92" t="str">
        <f aca="false">IF(OR(G43="",H43=""),"",G43*H43)</f>
        <v/>
      </c>
      <c r="J43" s="89"/>
      <c r="K43" s="93" t="str">
        <f aca="true">IF(AND(F43="",D43=""),"",IF(V43="Sí","✖️ Anulado",IF(O43&lt;&gt;"",IF(OR(Q43="Con incidencia",R43&lt;&gt;""),"⚠️ Llegó con incidencia",IF(AND(P43&lt;&gt;"",N(P43)&lt;N(G43)),"🧩 Llegó incompleto","✅ Recibido")),IF(C43="","🛒 Por pedir",IF(AND(N43&lt;&gt;"",TODAY()&gt;N(N43)),"🐢 Retrasado","📦 Pedido (esperando)")))))</f>
        <v/>
      </c>
      <c r="L43" s="94" t="str">
        <f aca="true">IF(OR(N43="",C43="",K43="",K43="✖️ Anulado"),"",IF(O43&lt;&gt;"",MAX(0,O43-N43),IF(TODAY()&gt;N43,TODAY()-N43,"")))</f>
        <v/>
      </c>
      <c r="M43" s="87"/>
      <c r="N43" s="95" t="str">
        <f aca="false">IF(M43&lt;&gt;"",M43,IF(OR(C43="",D43=""),"",IFERROR(IF(INDEX(Listas!$E$5:$E$60,MATCH(D43,Listas!$B$5:$B$60,0))="","",C43+INDEX(Listas!$E$5:$E$60,MATCH(D43,Listas!$B$5:$B$60,0))),"")))</f>
        <v/>
      </c>
      <c r="O43" s="87"/>
      <c r="P43" s="90"/>
      <c r="Q43" s="96"/>
      <c r="R43" s="89"/>
      <c r="S43" s="94" t="str">
        <f aca="false">IF(OR(C43="",O43="",K43="✖️ Anulado"),"",O43-C43)</f>
        <v/>
      </c>
      <c r="T43" s="87"/>
      <c r="U43" s="92" t="str">
        <f aca="false">IF(OR(O43="",K43="✖️ Anulado",AND(T43&lt;&gt;"",T43&lt;&gt;"No")),"",N(H43)*IF(P43="",N(G43),N(P43)))</f>
        <v/>
      </c>
      <c r="V43" s="96"/>
      <c r="W43" s="89"/>
    </row>
    <row r="44" customFormat="false" ht="21" hidden="false" customHeight="true" outlineLevel="0" collapsed="false">
      <c r="A44" s="74" t="n">
        <v>40</v>
      </c>
      <c r="B44" s="86"/>
      <c r="C44" s="87"/>
      <c r="D44" s="88"/>
      <c r="E44" s="89"/>
      <c r="F44" s="89"/>
      <c r="G44" s="90"/>
      <c r="H44" s="91"/>
      <c r="I44" s="92" t="str">
        <f aca="false">IF(OR(G44="",H44=""),"",G44*H44)</f>
        <v/>
      </c>
      <c r="J44" s="89"/>
      <c r="K44" s="93" t="str">
        <f aca="true">IF(AND(F44="",D44=""),"",IF(V44="Sí","✖️ Anulado",IF(O44&lt;&gt;"",IF(OR(Q44="Con incidencia",R44&lt;&gt;""),"⚠️ Llegó con incidencia",IF(AND(P44&lt;&gt;"",N(P44)&lt;N(G44)),"🧩 Llegó incompleto","✅ Recibido")),IF(C44="","🛒 Por pedir",IF(AND(N44&lt;&gt;"",TODAY()&gt;N(N44)),"🐢 Retrasado","📦 Pedido (esperando)")))))</f>
        <v/>
      </c>
      <c r="L44" s="94" t="str">
        <f aca="true">IF(OR(N44="",C44="",K44="",K44="✖️ Anulado"),"",IF(O44&lt;&gt;"",MAX(0,O44-N44),IF(TODAY()&gt;N44,TODAY()-N44,"")))</f>
        <v/>
      </c>
      <c r="M44" s="87"/>
      <c r="N44" s="95" t="str">
        <f aca="false">IF(M44&lt;&gt;"",M44,IF(OR(C44="",D44=""),"",IFERROR(IF(INDEX(Listas!$E$5:$E$60,MATCH(D44,Listas!$B$5:$B$60,0))="","",C44+INDEX(Listas!$E$5:$E$60,MATCH(D44,Listas!$B$5:$B$60,0))),"")))</f>
        <v/>
      </c>
      <c r="O44" s="87"/>
      <c r="P44" s="90"/>
      <c r="Q44" s="96"/>
      <c r="R44" s="89"/>
      <c r="S44" s="94" t="str">
        <f aca="false">IF(OR(C44="",O44="",K44="✖️ Anulado"),"",O44-C44)</f>
        <v/>
      </c>
      <c r="T44" s="87"/>
      <c r="U44" s="92" t="str">
        <f aca="false">IF(OR(O44="",K44="✖️ Anulado",AND(T44&lt;&gt;"",T44&lt;&gt;"No")),"",N(H44)*IF(P44="",N(G44),N(P44)))</f>
        <v/>
      </c>
      <c r="V44" s="96"/>
      <c r="W44" s="89"/>
    </row>
    <row r="45" customFormat="false" ht="21" hidden="false" customHeight="true" outlineLevel="0" collapsed="false">
      <c r="A45" s="74" t="n">
        <v>41</v>
      </c>
      <c r="B45" s="86"/>
      <c r="C45" s="87"/>
      <c r="D45" s="88"/>
      <c r="E45" s="89"/>
      <c r="F45" s="89"/>
      <c r="G45" s="90"/>
      <c r="H45" s="91"/>
      <c r="I45" s="92" t="str">
        <f aca="false">IF(OR(G45="",H45=""),"",G45*H45)</f>
        <v/>
      </c>
      <c r="J45" s="89"/>
      <c r="K45" s="93" t="str">
        <f aca="true">IF(AND(F45="",D45=""),"",IF(V45="Sí","✖️ Anulado",IF(O45&lt;&gt;"",IF(OR(Q45="Con incidencia",R45&lt;&gt;""),"⚠️ Llegó con incidencia",IF(AND(P45&lt;&gt;"",N(P45)&lt;N(G45)),"🧩 Llegó incompleto","✅ Recibido")),IF(C45="","🛒 Por pedir",IF(AND(N45&lt;&gt;"",TODAY()&gt;N(N45)),"🐢 Retrasado","📦 Pedido (esperando)")))))</f>
        <v/>
      </c>
      <c r="L45" s="94" t="str">
        <f aca="true">IF(OR(N45="",C45="",K45="",K45="✖️ Anulado"),"",IF(O45&lt;&gt;"",MAX(0,O45-N45),IF(TODAY()&gt;N45,TODAY()-N45,"")))</f>
        <v/>
      </c>
      <c r="M45" s="87"/>
      <c r="N45" s="95" t="str">
        <f aca="false">IF(M45&lt;&gt;"",M45,IF(OR(C45="",D45=""),"",IFERROR(IF(INDEX(Listas!$E$5:$E$60,MATCH(D45,Listas!$B$5:$B$60,0))="","",C45+INDEX(Listas!$E$5:$E$60,MATCH(D45,Listas!$B$5:$B$60,0))),"")))</f>
        <v/>
      </c>
      <c r="O45" s="87"/>
      <c r="P45" s="90"/>
      <c r="Q45" s="96"/>
      <c r="R45" s="89"/>
      <c r="S45" s="94" t="str">
        <f aca="false">IF(OR(C45="",O45="",K45="✖️ Anulado"),"",O45-C45)</f>
        <v/>
      </c>
      <c r="T45" s="87"/>
      <c r="U45" s="92" t="str">
        <f aca="false">IF(OR(O45="",K45="✖️ Anulado",AND(T45&lt;&gt;"",T45&lt;&gt;"No")),"",N(H45)*IF(P45="",N(G45),N(P45)))</f>
        <v/>
      </c>
      <c r="V45" s="96"/>
      <c r="W45" s="89"/>
    </row>
    <row r="46" customFormat="false" ht="21" hidden="false" customHeight="true" outlineLevel="0" collapsed="false">
      <c r="A46" s="74" t="n">
        <v>42</v>
      </c>
      <c r="B46" s="86"/>
      <c r="C46" s="87"/>
      <c r="D46" s="88"/>
      <c r="E46" s="89"/>
      <c r="F46" s="89"/>
      <c r="G46" s="90"/>
      <c r="H46" s="91"/>
      <c r="I46" s="92" t="str">
        <f aca="false">IF(OR(G46="",H46=""),"",G46*H46)</f>
        <v/>
      </c>
      <c r="J46" s="89"/>
      <c r="K46" s="93" t="str">
        <f aca="true">IF(AND(F46="",D46=""),"",IF(V46="Sí","✖️ Anulado",IF(O46&lt;&gt;"",IF(OR(Q46="Con incidencia",R46&lt;&gt;""),"⚠️ Llegó con incidencia",IF(AND(P46&lt;&gt;"",N(P46)&lt;N(G46)),"🧩 Llegó incompleto","✅ Recibido")),IF(C46="","🛒 Por pedir",IF(AND(N46&lt;&gt;"",TODAY()&gt;N(N46)),"🐢 Retrasado","📦 Pedido (esperando)")))))</f>
        <v/>
      </c>
      <c r="L46" s="94" t="str">
        <f aca="true">IF(OR(N46="",C46="",K46="",K46="✖️ Anulado"),"",IF(O46&lt;&gt;"",MAX(0,O46-N46),IF(TODAY()&gt;N46,TODAY()-N46,"")))</f>
        <v/>
      </c>
      <c r="M46" s="87"/>
      <c r="N46" s="95" t="str">
        <f aca="false">IF(M46&lt;&gt;"",M46,IF(OR(C46="",D46=""),"",IFERROR(IF(INDEX(Listas!$E$5:$E$60,MATCH(D46,Listas!$B$5:$B$60,0))="","",C46+INDEX(Listas!$E$5:$E$60,MATCH(D46,Listas!$B$5:$B$60,0))),"")))</f>
        <v/>
      </c>
      <c r="O46" s="87"/>
      <c r="P46" s="90"/>
      <c r="Q46" s="96"/>
      <c r="R46" s="89"/>
      <c r="S46" s="94" t="str">
        <f aca="false">IF(OR(C46="",O46="",K46="✖️ Anulado"),"",O46-C46)</f>
        <v/>
      </c>
      <c r="T46" s="87"/>
      <c r="U46" s="92" t="str">
        <f aca="false">IF(OR(O46="",K46="✖️ Anulado",AND(T46&lt;&gt;"",T46&lt;&gt;"No")),"",N(H46)*IF(P46="",N(G46),N(P46)))</f>
        <v/>
      </c>
      <c r="V46" s="96"/>
      <c r="W46" s="89"/>
    </row>
    <row r="47" customFormat="false" ht="21" hidden="false" customHeight="true" outlineLevel="0" collapsed="false">
      <c r="A47" s="74" t="n">
        <v>43</v>
      </c>
      <c r="B47" s="86"/>
      <c r="C47" s="87"/>
      <c r="D47" s="88"/>
      <c r="E47" s="89"/>
      <c r="F47" s="89"/>
      <c r="G47" s="90"/>
      <c r="H47" s="91"/>
      <c r="I47" s="92" t="str">
        <f aca="false">IF(OR(G47="",H47=""),"",G47*H47)</f>
        <v/>
      </c>
      <c r="J47" s="89"/>
      <c r="K47" s="93" t="str">
        <f aca="true">IF(AND(F47="",D47=""),"",IF(V47="Sí","✖️ Anulado",IF(O47&lt;&gt;"",IF(OR(Q47="Con incidencia",R47&lt;&gt;""),"⚠️ Llegó con incidencia",IF(AND(P47&lt;&gt;"",N(P47)&lt;N(G47)),"🧩 Llegó incompleto","✅ Recibido")),IF(C47="","🛒 Por pedir",IF(AND(N47&lt;&gt;"",TODAY()&gt;N(N47)),"🐢 Retrasado","📦 Pedido (esperando)")))))</f>
        <v/>
      </c>
      <c r="L47" s="94" t="str">
        <f aca="true">IF(OR(N47="",C47="",K47="",K47="✖️ Anulado"),"",IF(O47&lt;&gt;"",MAX(0,O47-N47),IF(TODAY()&gt;N47,TODAY()-N47,"")))</f>
        <v/>
      </c>
      <c r="M47" s="87"/>
      <c r="N47" s="95" t="str">
        <f aca="false">IF(M47&lt;&gt;"",M47,IF(OR(C47="",D47=""),"",IFERROR(IF(INDEX(Listas!$E$5:$E$60,MATCH(D47,Listas!$B$5:$B$60,0))="","",C47+INDEX(Listas!$E$5:$E$60,MATCH(D47,Listas!$B$5:$B$60,0))),"")))</f>
        <v/>
      </c>
      <c r="O47" s="87"/>
      <c r="P47" s="90"/>
      <c r="Q47" s="96"/>
      <c r="R47" s="89"/>
      <c r="S47" s="94" t="str">
        <f aca="false">IF(OR(C47="",O47="",K47="✖️ Anulado"),"",O47-C47)</f>
        <v/>
      </c>
      <c r="T47" s="87"/>
      <c r="U47" s="92" t="str">
        <f aca="false">IF(OR(O47="",K47="✖️ Anulado",AND(T47&lt;&gt;"",T47&lt;&gt;"No")),"",N(H47)*IF(P47="",N(G47),N(P47)))</f>
        <v/>
      </c>
      <c r="V47" s="96"/>
      <c r="W47" s="89"/>
    </row>
    <row r="48" customFormat="false" ht="21" hidden="false" customHeight="true" outlineLevel="0" collapsed="false">
      <c r="A48" s="74" t="n">
        <v>44</v>
      </c>
      <c r="B48" s="86"/>
      <c r="C48" s="87"/>
      <c r="D48" s="88"/>
      <c r="E48" s="89"/>
      <c r="F48" s="89"/>
      <c r="G48" s="90"/>
      <c r="H48" s="91"/>
      <c r="I48" s="92" t="str">
        <f aca="false">IF(OR(G48="",H48=""),"",G48*H48)</f>
        <v/>
      </c>
      <c r="J48" s="89"/>
      <c r="K48" s="93" t="str">
        <f aca="true">IF(AND(F48="",D48=""),"",IF(V48="Sí","✖️ Anulado",IF(O48&lt;&gt;"",IF(OR(Q48="Con incidencia",R48&lt;&gt;""),"⚠️ Llegó con incidencia",IF(AND(P48&lt;&gt;"",N(P48)&lt;N(G48)),"🧩 Llegó incompleto","✅ Recibido")),IF(C48="","🛒 Por pedir",IF(AND(N48&lt;&gt;"",TODAY()&gt;N(N48)),"🐢 Retrasado","📦 Pedido (esperando)")))))</f>
        <v/>
      </c>
      <c r="L48" s="94" t="str">
        <f aca="true">IF(OR(N48="",C48="",K48="",K48="✖️ Anulado"),"",IF(O48&lt;&gt;"",MAX(0,O48-N48),IF(TODAY()&gt;N48,TODAY()-N48,"")))</f>
        <v/>
      </c>
      <c r="M48" s="87"/>
      <c r="N48" s="95" t="str">
        <f aca="false">IF(M48&lt;&gt;"",M48,IF(OR(C48="",D48=""),"",IFERROR(IF(INDEX(Listas!$E$5:$E$60,MATCH(D48,Listas!$B$5:$B$60,0))="","",C48+INDEX(Listas!$E$5:$E$60,MATCH(D48,Listas!$B$5:$B$60,0))),"")))</f>
        <v/>
      </c>
      <c r="O48" s="87"/>
      <c r="P48" s="90"/>
      <c r="Q48" s="96"/>
      <c r="R48" s="89"/>
      <c r="S48" s="94" t="str">
        <f aca="false">IF(OR(C48="",O48="",K48="✖️ Anulado"),"",O48-C48)</f>
        <v/>
      </c>
      <c r="T48" s="87"/>
      <c r="U48" s="92" t="str">
        <f aca="false">IF(OR(O48="",K48="✖️ Anulado",AND(T48&lt;&gt;"",T48&lt;&gt;"No")),"",N(H48)*IF(P48="",N(G48),N(P48)))</f>
        <v/>
      </c>
      <c r="V48" s="96"/>
      <c r="W48" s="89"/>
    </row>
    <row r="49" customFormat="false" ht="21" hidden="false" customHeight="true" outlineLevel="0" collapsed="false">
      <c r="A49" s="74" t="n">
        <v>45</v>
      </c>
      <c r="B49" s="86"/>
      <c r="C49" s="87"/>
      <c r="D49" s="88"/>
      <c r="E49" s="89"/>
      <c r="F49" s="89"/>
      <c r="G49" s="90"/>
      <c r="H49" s="91"/>
      <c r="I49" s="92" t="str">
        <f aca="false">IF(OR(G49="",H49=""),"",G49*H49)</f>
        <v/>
      </c>
      <c r="J49" s="89"/>
      <c r="K49" s="93" t="str">
        <f aca="true">IF(AND(F49="",D49=""),"",IF(V49="Sí","✖️ Anulado",IF(O49&lt;&gt;"",IF(OR(Q49="Con incidencia",R49&lt;&gt;""),"⚠️ Llegó con incidencia",IF(AND(P49&lt;&gt;"",N(P49)&lt;N(G49)),"🧩 Llegó incompleto","✅ Recibido")),IF(C49="","🛒 Por pedir",IF(AND(N49&lt;&gt;"",TODAY()&gt;N(N49)),"🐢 Retrasado","📦 Pedido (esperando)")))))</f>
        <v/>
      </c>
      <c r="L49" s="94" t="str">
        <f aca="true">IF(OR(N49="",C49="",K49="",K49="✖️ Anulado"),"",IF(O49&lt;&gt;"",MAX(0,O49-N49),IF(TODAY()&gt;N49,TODAY()-N49,"")))</f>
        <v/>
      </c>
      <c r="M49" s="87"/>
      <c r="N49" s="95" t="str">
        <f aca="false">IF(M49&lt;&gt;"",M49,IF(OR(C49="",D49=""),"",IFERROR(IF(INDEX(Listas!$E$5:$E$60,MATCH(D49,Listas!$B$5:$B$60,0))="","",C49+INDEX(Listas!$E$5:$E$60,MATCH(D49,Listas!$B$5:$B$60,0))),"")))</f>
        <v/>
      </c>
      <c r="O49" s="87"/>
      <c r="P49" s="90"/>
      <c r="Q49" s="96"/>
      <c r="R49" s="89"/>
      <c r="S49" s="94" t="str">
        <f aca="false">IF(OR(C49="",O49="",K49="✖️ Anulado"),"",O49-C49)</f>
        <v/>
      </c>
      <c r="T49" s="87"/>
      <c r="U49" s="92" t="str">
        <f aca="false">IF(OR(O49="",K49="✖️ Anulado",AND(T49&lt;&gt;"",T49&lt;&gt;"No")),"",N(H49)*IF(P49="",N(G49),N(P49)))</f>
        <v/>
      </c>
      <c r="V49" s="96"/>
      <c r="W49" s="89"/>
    </row>
    <row r="50" customFormat="false" ht="21" hidden="false" customHeight="true" outlineLevel="0" collapsed="false">
      <c r="A50" s="74" t="n">
        <v>46</v>
      </c>
      <c r="B50" s="86"/>
      <c r="C50" s="87"/>
      <c r="D50" s="88"/>
      <c r="E50" s="89"/>
      <c r="F50" s="89"/>
      <c r="G50" s="90"/>
      <c r="H50" s="91"/>
      <c r="I50" s="92" t="str">
        <f aca="false">IF(OR(G50="",H50=""),"",G50*H50)</f>
        <v/>
      </c>
      <c r="J50" s="89"/>
      <c r="K50" s="93" t="str">
        <f aca="true">IF(AND(F50="",D50=""),"",IF(V50="Sí","✖️ Anulado",IF(O50&lt;&gt;"",IF(OR(Q50="Con incidencia",R50&lt;&gt;""),"⚠️ Llegó con incidencia",IF(AND(P50&lt;&gt;"",N(P50)&lt;N(G50)),"🧩 Llegó incompleto","✅ Recibido")),IF(C50="","🛒 Por pedir",IF(AND(N50&lt;&gt;"",TODAY()&gt;N(N50)),"🐢 Retrasado","📦 Pedido (esperando)")))))</f>
        <v/>
      </c>
      <c r="L50" s="94" t="str">
        <f aca="true">IF(OR(N50="",C50="",K50="",K50="✖️ Anulado"),"",IF(O50&lt;&gt;"",MAX(0,O50-N50),IF(TODAY()&gt;N50,TODAY()-N50,"")))</f>
        <v/>
      </c>
      <c r="M50" s="87"/>
      <c r="N50" s="95" t="str">
        <f aca="false">IF(M50&lt;&gt;"",M50,IF(OR(C50="",D50=""),"",IFERROR(IF(INDEX(Listas!$E$5:$E$60,MATCH(D50,Listas!$B$5:$B$60,0))="","",C50+INDEX(Listas!$E$5:$E$60,MATCH(D50,Listas!$B$5:$B$60,0))),"")))</f>
        <v/>
      </c>
      <c r="O50" s="87"/>
      <c r="P50" s="90"/>
      <c r="Q50" s="96"/>
      <c r="R50" s="89"/>
      <c r="S50" s="94" t="str">
        <f aca="false">IF(OR(C50="",O50="",K50="✖️ Anulado"),"",O50-C50)</f>
        <v/>
      </c>
      <c r="T50" s="87"/>
      <c r="U50" s="92" t="str">
        <f aca="false">IF(OR(O50="",K50="✖️ Anulado",AND(T50&lt;&gt;"",T50&lt;&gt;"No")),"",N(H50)*IF(P50="",N(G50),N(P50)))</f>
        <v/>
      </c>
      <c r="V50" s="96"/>
      <c r="W50" s="89"/>
    </row>
    <row r="51" customFormat="false" ht="21" hidden="false" customHeight="true" outlineLevel="0" collapsed="false">
      <c r="A51" s="74" t="n">
        <v>47</v>
      </c>
      <c r="B51" s="86"/>
      <c r="C51" s="87"/>
      <c r="D51" s="88"/>
      <c r="E51" s="89"/>
      <c r="F51" s="89"/>
      <c r="G51" s="90"/>
      <c r="H51" s="91"/>
      <c r="I51" s="92" t="str">
        <f aca="false">IF(OR(G51="",H51=""),"",G51*H51)</f>
        <v/>
      </c>
      <c r="J51" s="89"/>
      <c r="K51" s="93" t="str">
        <f aca="true">IF(AND(F51="",D51=""),"",IF(V51="Sí","✖️ Anulado",IF(O51&lt;&gt;"",IF(OR(Q51="Con incidencia",R51&lt;&gt;""),"⚠️ Llegó con incidencia",IF(AND(P51&lt;&gt;"",N(P51)&lt;N(G51)),"🧩 Llegó incompleto","✅ Recibido")),IF(C51="","🛒 Por pedir",IF(AND(N51&lt;&gt;"",TODAY()&gt;N(N51)),"🐢 Retrasado","📦 Pedido (esperando)")))))</f>
        <v/>
      </c>
      <c r="L51" s="94" t="str">
        <f aca="true">IF(OR(N51="",C51="",K51="",K51="✖️ Anulado"),"",IF(O51&lt;&gt;"",MAX(0,O51-N51),IF(TODAY()&gt;N51,TODAY()-N51,"")))</f>
        <v/>
      </c>
      <c r="M51" s="87"/>
      <c r="N51" s="95" t="str">
        <f aca="false">IF(M51&lt;&gt;"",M51,IF(OR(C51="",D51=""),"",IFERROR(IF(INDEX(Listas!$E$5:$E$60,MATCH(D51,Listas!$B$5:$B$60,0))="","",C51+INDEX(Listas!$E$5:$E$60,MATCH(D51,Listas!$B$5:$B$60,0))),"")))</f>
        <v/>
      </c>
      <c r="O51" s="87"/>
      <c r="P51" s="90"/>
      <c r="Q51" s="96"/>
      <c r="R51" s="89"/>
      <c r="S51" s="94" t="str">
        <f aca="false">IF(OR(C51="",O51="",K51="✖️ Anulado"),"",O51-C51)</f>
        <v/>
      </c>
      <c r="T51" s="87"/>
      <c r="U51" s="92" t="str">
        <f aca="false">IF(OR(O51="",K51="✖️ Anulado",AND(T51&lt;&gt;"",T51&lt;&gt;"No")),"",N(H51)*IF(P51="",N(G51),N(P51)))</f>
        <v/>
      </c>
      <c r="V51" s="96"/>
      <c r="W51" s="89"/>
    </row>
    <row r="52" customFormat="false" ht="21" hidden="false" customHeight="true" outlineLevel="0" collapsed="false">
      <c r="A52" s="74" t="n">
        <v>48</v>
      </c>
      <c r="B52" s="86"/>
      <c r="C52" s="87"/>
      <c r="D52" s="88"/>
      <c r="E52" s="89"/>
      <c r="F52" s="89"/>
      <c r="G52" s="90"/>
      <c r="H52" s="91"/>
      <c r="I52" s="92" t="str">
        <f aca="false">IF(OR(G52="",H52=""),"",G52*H52)</f>
        <v/>
      </c>
      <c r="J52" s="89"/>
      <c r="K52" s="93" t="str">
        <f aca="true">IF(AND(F52="",D52=""),"",IF(V52="Sí","✖️ Anulado",IF(O52&lt;&gt;"",IF(OR(Q52="Con incidencia",R52&lt;&gt;""),"⚠️ Llegó con incidencia",IF(AND(P52&lt;&gt;"",N(P52)&lt;N(G52)),"🧩 Llegó incompleto","✅ Recibido")),IF(C52="","🛒 Por pedir",IF(AND(N52&lt;&gt;"",TODAY()&gt;N(N52)),"🐢 Retrasado","📦 Pedido (esperando)")))))</f>
        <v/>
      </c>
      <c r="L52" s="94" t="str">
        <f aca="true">IF(OR(N52="",C52="",K52="",K52="✖️ Anulado"),"",IF(O52&lt;&gt;"",MAX(0,O52-N52),IF(TODAY()&gt;N52,TODAY()-N52,"")))</f>
        <v/>
      </c>
      <c r="M52" s="87"/>
      <c r="N52" s="95" t="str">
        <f aca="false">IF(M52&lt;&gt;"",M52,IF(OR(C52="",D52=""),"",IFERROR(IF(INDEX(Listas!$E$5:$E$60,MATCH(D52,Listas!$B$5:$B$60,0))="","",C52+INDEX(Listas!$E$5:$E$60,MATCH(D52,Listas!$B$5:$B$60,0))),"")))</f>
        <v/>
      </c>
      <c r="O52" s="87"/>
      <c r="P52" s="90"/>
      <c r="Q52" s="96"/>
      <c r="R52" s="89"/>
      <c r="S52" s="94" t="str">
        <f aca="false">IF(OR(C52="",O52="",K52="✖️ Anulado"),"",O52-C52)</f>
        <v/>
      </c>
      <c r="T52" s="87"/>
      <c r="U52" s="92" t="str">
        <f aca="false">IF(OR(O52="",K52="✖️ Anulado",AND(T52&lt;&gt;"",T52&lt;&gt;"No")),"",N(H52)*IF(P52="",N(G52),N(P52)))</f>
        <v/>
      </c>
      <c r="V52" s="96"/>
      <c r="W52" s="89"/>
    </row>
    <row r="53" customFormat="false" ht="21" hidden="false" customHeight="true" outlineLevel="0" collapsed="false">
      <c r="A53" s="74" t="n">
        <v>49</v>
      </c>
      <c r="B53" s="86"/>
      <c r="C53" s="87"/>
      <c r="D53" s="88"/>
      <c r="E53" s="89"/>
      <c r="F53" s="89"/>
      <c r="G53" s="90"/>
      <c r="H53" s="91"/>
      <c r="I53" s="92" t="str">
        <f aca="false">IF(OR(G53="",H53=""),"",G53*H53)</f>
        <v/>
      </c>
      <c r="J53" s="89"/>
      <c r="K53" s="93" t="str">
        <f aca="true">IF(AND(F53="",D53=""),"",IF(V53="Sí","✖️ Anulado",IF(O53&lt;&gt;"",IF(OR(Q53="Con incidencia",R53&lt;&gt;""),"⚠️ Llegó con incidencia",IF(AND(P53&lt;&gt;"",N(P53)&lt;N(G53)),"🧩 Llegó incompleto","✅ Recibido")),IF(C53="","🛒 Por pedir",IF(AND(N53&lt;&gt;"",TODAY()&gt;N(N53)),"🐢 Retrasado","📦 Pedido (esperando)")))))</f>
        <v/>
      </c>
      <c r="L53" s="94" t="str">
        <f aca="true">IF(OR(N53="",C53="",K53="",K53="✖️ Anulado"),"",IF(O53&lt;&gt;"",MAX(0,O53-N53),IF(TODAY()&gt;N53,TODAY()-N53,"")))</f>
        <v/>
      </c>
      <c r="M53" s="87"/>
      <c r="N53" s="95" t="str">
        <f aca="false">IF(M53&lt;&gt;"",M53,IF(OR(C53="",D53=""),"",IFERROR(IF(INDEX(Listas!$E$5:$E$60,MATCH(D53,Listas!$B$5:$B$60,0))="","",C53+INDEX(Listas!$E$5:$E$60,MATCH(D53,Listas!$B$5:$B$60,0))),"")))</f>
        <v/>
      </c>
      <c r="O53" s="87"/>
      <c r="P53" s="90"/>
      <c r="Q53" s="96"/>
      <c r="R53" s="89"/>
      <c r="S53" s="94" t="str">
        <f aca="false">IF(OR(C53="",O53="",K53="✖️ Anulado"),"",O53-C53)</f>
        <v/>
      </c>
      <c r="T53" s="87"/>
      <c r="U53" s="92" t="str">
        <f aca="false">IF(OR(O53="",K53="✖️ Anulado",AND(T53&lt;&gt;"",T53&lt;&gt;"No")),"",N(H53)*IF(P53="",N(G53),N(P53)))</f>
        <v/>
      </c>
      <c r="V53" s="96"/>
      <c r="W53" s="89"/>
    </row>
    <row r="54" customFormat="false" ht="21" hidden="false" customHeight="true" outlineLevel="0" collapsed="false">
      <c r="A54" s="74" t="n">
        <v>50</v>
      </c>
      <c r="B54" s="86"/>
      <c r="C54" s="87"/>
      <c r="D54" s="88"/>
      <c r="E54" s="89"/>
      <c r="F54" s="89"/>
      <c r="G54" s="90"/>
      <c r="H54" s="91"/>
      <c r="I54" s="92" t="str">
        <f aca="false">IF(OR(G54="",H54=""),"",G54*H54)</f>
        <v/>
      </c>
      <c r="J54" s="89"/>
      <c r="K54" s="93" t="str">
        <f aca="true">IF(AND(F54="",D54=""),"",IF(V54="Sí","✖️ Anulado",IF(O54&lt;&gt;"",IF(OR(Q54="Con incidencia",R54&lt;&gt;""),"⚠️ Llegó con incidencia",IF(AND(P54&lt;&gt;"",N(P54)&lt;N(G54)),"🧩 Llegó incompleto","✅ Recibido")),IF(C54="","🛒 Por pedir",IF(AND(N54&lt;&gt;"",TODAY()&gt;N(N54)),"🐢 Retrasado","📦 Pedido (esperando)")))))</f>
        <v/>
      </c>
      <c r="L54" s="94" t="str">
        <f aca="true">IF(OR(N54="",C54="",K54="",K54="✖️ Anulado"),"",IF(O54&lt;&gt;"",MAX(0,O54-N54),IF(TODAY()&gt;N54,TODAY()-N54,"")))</f>
        <v/>
      </c>
      <c r="M54" s="87"/>
      <c r="N54" s="95" t="str">
        <f aca="false">IF(M54&lt;&gt;"",M54,IF(OR(C54="",D54=""),"",IFERROR(IF(INDEX(Listas!$E$5:$E$60,MATCH(D54,Listas!$B$5:$B$60,0))="","",C54+INDEX(Listas!$E$5:$E$60,MATCH(D54,Listas!$B$5:$B$60,0))),"")))</f>
        <v/>
      </c>
      <c r="O54" s="87"/>
      <c r="P54" s="90"/>
      <c r="Q54" s="96"/>
      <c r="R54" s="89"/>
      <c r="S54" s="94" t="str">
        <f aca="false">IF(OR(C54="",O54="",K54="✖️ Anulado"),"",O54-C54)</f>
        <v/>
      </c>
      <c r="T54" s="87"/>
      <c r="U54" s="92" t="str">
        <f aca="false">IF(OR(O54="",K54="✖️ Anulado",AND(T54&lt;&gt;"",T54&lt;&gt;"No")),"",N(H54)*IF(P54="",N(G54),N(P54)))</f>
        <v/>
      </c>
      <c r="V54" s="96"/>
      <c r="W54" s="89"/>
    </row>
    <row r="55" customFormat="false" ht="21" hidden="false" customHeight="true" outlineLevel="0" collapsed="false">
      <c r="A55" s="74" t="n">
        <v>51</v>
      </c>
      <c r="B55" s="86"/>
      <c r="C55" s="87"/>
      <c r="D55" s="88"/>
      <c r="E55" s="89"/>
      <c r="F55" s="89"/>
      <c r="G55" s="90"/>
      <c r="H55" s="91"/>
      <c r="I55" s="92" t="str">
        <f aca="false">IF(OR(G55="",H55=""),"",G55*H55)</f>
        <v/>
      </c>
      <c r="J55" s="89"/>
      <c r="K55" s="93" t="str">
        <f aca="true">IF(AND(F55="",D55=""),"",IF(V55="Sí","✖️ Anulado",IF(O55&lt;&gt;"",IF(OR(Q55="Con incidencia",R55&lt;&gt;""),"⚠️ Llegó con incidencia",IF(AND(P55&lt;&gt;"",N(P55)&lt;N(G55)),"🧩 Llegó incompleto","✅ Recibido")),IF(C55="","🛒 Por pedir",IF(AND(N55&lt;&gt;"",TODAY()&gt;N(N55)),"🐢 Retrasado","📦 Pedido (esperando)")))))</f>
        <v/>
      </c>
      <c r="L55" s="94" t="str">
        <f aca="true">IF(OR(N55="",C55="",K55="",K55="✖️ Anulado"),"",IF(O55&lt;&gt;"",MAX(0,O55-N55),IF(TODAY()&gt;N55,TODAY()-N55,"")))</f>
        <v/>
      </c>
      <c r="M55" s="87"/>
      <c r="N55" s="95" t="str">
        <f aca="false">IF(M55&lt;&gt;"",M55,IF(OR(C55="",D55=""),"",IFERROR(IF(INDEX(Listas!$E$5:$E$60,MATCH(D55,Listas!$B$5:$B$60,0))="","",C55+INDEX(Listas!$E$5:$E$60,MATCH(D55,Listas!$B$5:$B$60,0))),"")))</f>
        <v/>
      </c>
      <c r="O55" s="87"/>
      <c r="P55" s="90"/>
      <c r="Q55" s="96"/>
      <c r="R55" s="89"/>
      <c r="S55" s="94" t="str">
        <f aca="false">IF(OR(C55="",O55="",K55="✖️ Anulado"),"",O55-C55)</f>
        <v/>
      </c>
      <c r="T55" s="87"/>
      <c r="U55" s="92" t="str">
        <f aca="false">IF(OR(O55="",K55="✖️ Anulado",AND(T55&lt;&gt;"",T55&lt;&gt;"No")),"",N(H55)*IF(P55="",N(G55),N(P55)))</f>
        <v/>
      </c>
      <c r="V55" s="96"/>
      <c r="W55" s="89"/>
    </row>
    <row r="56" customFormat="false" ht="21" hidden="false" customHeight="true" outlineLevel="0" collapsed="false">
      <c r="A56" s="74" t="n">
        <v>52</v>
      </c>
      <c r="B56" s="86"/>
      <c r="C56" s="87"/>
      <c r="D56" s="88"/>
      <c r="E56" s="89"/>
      <c r="F56" s="89"/>
      <c r="G56" s="90"/>
      <c r="H56" s="91"/>
      <c r="I56" s="92" t="str">
        <f aca="false">IF(OR(G56="",H56=""),"",G56*H56)</f>
        <v/>
      </c>
      <c r="J56" s="89"/>
      <c r="K56" s="93" t="str">
        <f aca="true">IF(AND(F56="",D56=""),"",IF(V56="Sí","✖️ Anulado",IF(O56&lt;&gt;"",IF(OR(Q56="Con incidencia",R56&lt;&gt;""),"⚠️ Llegó con incidencia",IF(AND(P56&lt;&gt;"",N(P56)&lt;N(G56)),"🧩 Llegó incompleto","✅ Recibido")),IF(C56="","🛒 Por pedir",IF(AND(N56&lt;&gt;"",TODAY()&gt;N(N56)),"🐢 Retrasado","📦 Pedido (esperando)")))))</f>
        <v/>
      </c>
      <c r="L56" s="94" t="str">
        <f aca="true">IF(OR(N56="",C56="",K56="",K56="✖️ Anulado"),"",IF(O56&lt;&gt;"",MAX(0,O56-N56),IF(TODAY()&gt;N56,TODAY()-N56,"")))</f>
        <v/>
      </c>
      <c r="M56" s="87"/>
      <c r="N56" s="95" t="str">
        <f aca="false">IF(M56&lt;&gt;"",M56,IF(OR(C56="",D56=""),"",IFERROR(IF(INDEX(Listas!$E$5:$E$60,MATCH(D56,Listas!$B$5:$B$60,0))="","",C56+INDEX(Listas!$E$5:$E$60,MATCH(D56,Listas!$B$5:$B$60,0))),"")))</f>
        <v/>
      </c>
      <c r="O56" s="87"/>
      <c r="P56" s="90"/>
      <c r="Q56" s="96"/>
      <c r="R56" s="89"/>
      <c r="S56" s="94" t="str">
        <f aca="false">IF(OR(C56="",O56="",K56="✖️ Anulado"),"",O56-C56)</f>
        <v/>
      </c>
      <c r="T56" s="87"/>
      <c r="U56" s="92" t="str">
        <f aca="false">IF(OR(O56="",K56="✖️ Anulado",AND(T56&lt;&gt;"",T56&lt;&gt;"No")),"",N(H56)*IF(P56="",N(G56),N(P56)))</f>
        <v/>
      </c>
      <c r="V56" s="96"/>
      <c r="W56" s="89"/>
    </row>
    <row r="57" customFormat="false" ht="21" hidden="false" customHeight="true" outlineLevel="0" collapsed="false">
      <c r="A57" s="74" t="n">
        <v>53</v>
      </c>
      <c r="B57" s="86"/>
      <c r="C57" s="87"/>
      <c r="D57" s="88"/>
      <c r="E57" s="89"/>
      <c r="F57" s="89"/>
      <c r="G57" s="90"/>
      <c r="H57" s="91"/>
      <c r="I57" s="92" t="str">
        <f aca="false">IF(OR(G57="",H57=""),"",G57*H57)</f>
        <v/>
      </c>
      <c r="J57" s="89"/>
      <c r="K57" s="93" t="str">
        <f aca="true">IF(AND(F57="",D57=""),"",IF(V57="Sí","✖️ Anulado",IF(O57&lt;&gt;"",IF(OR(Q57="Con incidencia",R57&lt;&gt;""),"⚠️ Llegó con incidencia",IF(AND(P57&lt;&gt;"",N(P57)&lt;N(G57)),"🧩 Llegó incompleto","✅ Recibido")),IF(C57="","🛒 Por pedir",IF(AND(N57&lt;&gt;"",TODAY()&gt;N(N57)),"🐢 Retrasado","📦 Pedido (esperando)")))))</f>
        <v/>
      </c>
      <c r="L57" s="94" t="str">
        <f aca="true">IF(OR(N57="",C57="",K57="",K57="✖️ Anulado"),"",IF(O57&lt;&gt;"",MAX(0,O57-N57),IF(TODAY()&gt;N57,TODAY()-N57,"")))</f>
        <v/>
      </c>
      <c r="M57" s="87"/>
      <c r="N57" s="95" t="str">
        <f aca="false">IF(M57&lt;&gt;"",M57,IF(OR(C57="",D57=""),"",IFERROR(IF(INDEX(Listas!$E$5:$E$60,MATCH(D57,Listas!$B$5:$B$60,0))="","",C57+INDEX(Listas!$E$5:$E$60,MATCH(D57,Listas!$B$5:$B$60,0))),"")))</f>
        <v/>
      </c>
      <c r="O57" s="87"/>
      <c r="P57" s="90"/>
      <c r="Q57" s="96"/>
      <c r="R57" s="89"/>
      <c r="S57" s="94" t="str">
        <f aca="false">IF(OR(C57="",O57="",K57="✖️ Anulado"),"",O57-C57)</f>
        <v/>
      </c>
      <c r="T57" s="87"/>
      <c r="U57" s="92" t="str">
        <f aca="false">IF(OR(O57="",K57="✖️ Anulado",AND(T57&lt;&gt;"",T57&lt;&gt;"No")),"",N(H57)*IF(P57="",N(G57),N(P57)))</f>
        <v/>
      </c>
      <c r="V57" s="96"/>
      <c r="W57" s="89"/>
    </row>
    <row r="58" customFormat="false" ht="21" hidden="false" customHeight="true" outlineLevel="0" collapsed="false">
      <c r="A58" s="74" t="n">
        <v>54</v>
      </c>
      <c r="B58" s="86"/>
      <c r="C58" s="87"/>
      <c r="D58" s="88"/>
      <c r="E58" s="89"/>
      <c r="F58" s="89"/>
      <c r="G58" s="90"/>
      <c r="H58" s="91"/>
      <c r="I58" s="92" t="str">
        <f aca="false">IF(OR(G58="",H58=""),"",G58*H58)</f>
        <v/>
      </c>
      <c r="J58" s="89"/>
      <c r="K58" s="93" t="str">
        <f aca="true">IF(AND(F58="",D58=""),"",IF(V58="Sí","✖️ Anulado",IF(O58&lt;&gt;"",IF(OR(Q58="Con incidencia",R58&lt;&gt;""),"⚠️ Llegó con incidencia",IF(AND(P58&lt;&gt;"",N(P58)&lt;N(G58)),"🧩 Llegó incompleto","✅ Recibido")),IF(C58="","🛒 Por pedir",IF(AND(N58&lt;&gt;"",TODAY()&gt;N(N58)),"🐢 Retrasado","📦 Pedido (esperando)")))))</f>
        <v/>
      </c>
      <c r="L58" s="94" t="str">
        <f aca="true">IF(OR(N58="",C58="",K58="",K58="✖️ Anulado"),"",IF(O58&lt;&gt;"",MAX(0,O58-N58),IF(TODAY()&gt;N58,TODAY()-N58,"")))</f>
        <v/>
      </c>
      <c r="M58" s="87"/>
      <c r="N58" s="95" t="str">
        <f aca="false">IF(M58&lt;&gt;"",M58,IF(OR(C58="",D58=""),"",IFERROR(IF(INDEX(Listas!$E$5:$E$60,MATCH(D58,Listas!$B$5:$B$60,0))="","",C58+INDEX(Listas!$E$5:$E$60,MATCH(D58,Listas!$B$5:$B$60,0))),"")))</f>
        <v/>
      </c>
      <c r="O58" s="87"/>
      <c r="P58" s="90"/>
      <c r="Q58" s="96"/>
      <c r="R58" s="89"/>
      <c r="S58" s="94" t="str">
        <f aca="false">IF(OR(C58="",O58="",K58="✖️ Anulado"),"",O58-C58)</f>
        <v/>
      </c>
      <c r="T58" s="87"/>
      <c r="U58" s="92" t="str">
        <f aca="false">IF(OR(O58="",K58="✖️ Anulado",AND(T58&lt;&gt;"",T58&lt;&gt;"No")),"",N(H58)*IF(P58="",N(G58),N(P58)))</f>
        <v/>
      </c>
      <c r="V58" s="96"/>
      <c r="W58" s="89"/>
    </row>
    <row r="59" customFormat="false" ht="21" hidden="false" customHeight="true" outlineLevel="0" collapsed="false">
      <c r="A59" s="74" t="n">
        <v>55</v>
      </c>
      <c r="B59" s="86"/>
      <c r="C59" s="87"/>
      <c r="D59" s="88"/>
      <c r="E59" s="89"/>
      <c r="F59" s="89"/>
      <c r="G59" s="90"/>
      <c r="H59" s="91"/>
      <c r="I59" s="92" t="str">
        <f aca="false">IF(OR(G59="",H59=""),"",G59*H59)</f>
        <v/>
      </c>
      <c r="J59" s="89"/>
      <c r="K59" s="93" t="str">
        <f aca="true">IF(AND(F59="",D59=""),"",IF(V59="Sí","✖️ Anulado",IF(O59&lt;&gt;"",IF(OR(Q59="Con incidencia",R59&lt;&gt;""),"⚠️ Llegó con incidencia",IF(AND(P59&lt;&gt;"",N(P59)&lt;N(G59)),"🧩 Llegó incompleto","✅ Recibido")),IF(C59="","🛒 Por pedir",IF(AND(N59&lt;&gt;"",TODAY()&gt;N(N59)),"🐢 Retrasado","📦 Pedido (esperando)")))))</f>
        <v/>
      </c>
      <c r="L59" s="94" t="str">
        <f aca="true">IF(OR(N59="",C59="",K59="",K59="✖️ Anulado"),"",IF(O59&lt;&gt;"",MAX(0,O59-N59),IF(TODAY()&gt;N59,TODAY()-N59,"")))</f>
        <v/>
      </c>
      <c r="M59" s="87"/>
      <c r="N59" s="95" t="str">
        <f aca="false">IF(M59&lt;&gt;"",M59,IF(OR(C59="",D59=""),"",IFERROR(IF(INDEX(Listas!$E$5:$E$60,MATCH(D59,Listas!$B$5:$B$60,0))="","",C59+INDEX(Listas!$E$5:$E$60,MATCH(D59,Listas!$B$5:$B$60,0))),"")))</f>
        <v/>
      </c>
      <c r="O59" s="87"/>
      <c r="P59" s="90"/>
      <c r="Q59" s="96"/>
      <c r="R59" s="89"/>
      <c r="S59" s="94" t="str">
        <f aca="false">IF(OR(C59="",O59="",K59="✖️ Anulado"),"",O59-C59)</f>
        <v/>
      </c>
      <c r="T59" s="87"/>
      <c r="U59" s="92" t="str">
        <f aca="false">IF(OR(O59="",K59="✖️ Anulado",AND(T59&lt;&gt;"",T59&lt;&gt;"No")),"",N(H59)*IF(P59="",N(G59),N(P59)))</f>
        <v/>
      </c>
      <c r="V59" s="96"/>
      <c r="W59" s="89"/>
    </row>
    <row r="60" customFormat="false" ht="21" hidden="false" customHeight="true" outlineLevel="0" collapsed="false">
      <c r="A60" s="74" t="n">
        <v>56</v>
      </c>
      <c r="B60" s="86"/>
      <c r="C60" s="87"/>
      <c r="D60" s="88"/>
      <c r="E60" s="89"/>
      <c r="F60" s="89"/>
      <c r="G60" s="90"/>
      <c r="H60" s="91"/>
      <c r="I60" s="92" t="str">
        <f aca="false">IF(OR(G60="",H60=""),"",G60*H60)</f>
        <v/>
      </c>
      <c r="J60" s="89"/>
      <c r="K60" s="93" t="str">
        <f aca="true">IF(AND(F60="",D60=""),"",IF(V60="Sí","✖️ Anulado",IF(O60&lt;&gt;"",IF(OR(Q60="Con incidencia",R60&lt;&gt;""),"⚠️ Llegó con incidencia",IF(AND(P60&lt;&gt;"",N(P60)&lt;N(G60)),"🧩 Llegó incompleto","✅ Recibido")),IF(C60="","🛒 Por pedir",IF(AND(N60&lt;&gt;"",TODAY()&gt;N(N60)),"🐢 Retrasado","📦 Pedido (esperando)")))))</f>
        <v/>
      </c>
      <c r="L60" s="94" t="str">
        <f aca="true">IF(OR(N60="",C60="",K60="",K60="✖️ Anulado"),"",IF(O60&lt;&gt;"",MAX(0,O60-N60),IF(TODAY()&gt;N60,TODAY()-N60,"")))</f>
        <v/>
      </c>
      <c r="M60" s="87"/>
      <c r="N60" s="95" t="str">
        <f aca="false">IF(M60&lt;&gt;"",M60,IF(OR(C60="",D60=""),"",IFERROR(IF(INDEX(Listas!$E$5:$E$60,MATCH(D60,Listas!$B$5:$B$60,0))="","",C60+INDEX(Listas!$E$5:$E$60,MATCH(D60,Listas!$B$5:$B$60,0))),"")))</f>
        <v/>
      </c>
      <c r="O60" s="87"/>
      <c r="P60" s="90"/>
      <c r="Q60" s="96"/>
      <c r="R60" s="89"/>
      <c r="S60" s="94" t="str">
        <f aca="false">IF(OR(C60="",O60="",K60="✖️ Anulado"),"",O60-C60)</f>
        <v/>
      </c>
      <c r="T60" s="87"/>
      <c r="U60" s="92" t="str">
        <f aca="false">IF(OR(O60="",K60="✖️ Anulado",AND(T60&lt;&gt;"",T60&lt;&gt;"No")),"",N(H60)*IF(P60="",N(G60),N(P60)))</f>
        <v/>
      </c>
      <c r="V60" s="96"/>
      <c r="W60" s="89"/>
    </row>
    <row r="61" customFormat="false" ht="21" hidden="false" customHeight="true" outlineLevel="0" collapsed="false">
      <c r="A61" s="74" t="n">
        <v>57</v>
      </c>
      <c r="B61" s="86"/>
      <c r="C61" s="87"/>
      <c r="D61" s="88"/>
      <c r="E61" s="89"/>
      <c r="F61" s="89"/>
      <c r="G61" s="90"/>
      <c r="H61" s="91"/>
      <c r="I61" s="92" t="str">
        <f aca="false">IF(OR(G61="",H61=""),"",G61*H61)</f>
        <v/>
      </c>
      <c r="J61" s="89"/>
      <c r="K61" s="93" t="str">
        <f aca="true">IF(AND(F61="",D61=""),"",IF(V61="Sí","✖️ Anulado",IF(O61&lt;&gt;"",IF(OR(Q61="Con incidencia",R61&lt;&gt;""),"⚠️ Llegó con incidencia",IF(AND(P61&lt;&gt;"",N(P61)&lt;N(G61)),"🧩 Llegó incompleto","✅ Recibido")),IF(C61="","🛒 Por pedir",IF(AND(N61&lt;&gt;"",TODAY()&gt;N(N61)),"🐢 Retrasado","📦 Pedido (esperando)")))))</f>
        <v/>
      </c>
      <c r="L61" s="94" t="str">
        <f aca="true">IF(OR(N61="",C61="",K61="",K61="✖️ Anulado"),"",IF(O61&lt;&gt;"",MAX(0,O61-N61),IF(TODAY()&gt;N61,TODAY()-N61,"")))</f>
        <v/>
      </c>
      <c r="M61" s="87"/>
      <c r="N61" s="95" t="str">
        <f aca="false">IF(M61&lt;&gt;"",M61,IF(OR(C61="",D61=""),"",IFERROR(IF(INDEX(Listas!$E$5:$E$60,MATCH(D61,Listas!$B$5:$B$60,0))="","",C61+INDEX(Listas!$E$5:$E$60,MATCH(D61,Listas!$B$5:$B$60,0))),"")))</f>
        <v/>
      </c>
      <c r="O61" s="87"/>
      <c r="P61" s="90"/>
      <c r="Q61" s="96"/>
      <c r="R61" s="89"/>
      <c r="S61" s="94" t="str">
        <f aca="false">IF(OR(C61="",O61="",K61="✖️ Anulado"),"",O61-C61)</f>
        <v/>
      </c>
      <c r="T61" s="87"/>
      <c r="U61" s="92" t="str">
        <f aca="false">IF(OR(O61="",K61="✖️ Anulado",AND(T61&lt;&gt;"",T61&lt;&gt;"No")),"",N(H61)*IF(P61="",N(G61),N(P61)))</f>
        <v/>
      </c>
      <c r="V61" s="96"/>
      <c r="W61" s="89"/>
    </row>
    <row r="62" customFormat="false" ht="21" hidden="false" customHeight="true" outlineLevel="0" collapsed="false">
      <c r="A62" s="74" t="n">
        <v>58</v>
      </c>
      <c r="B62" s="86"/>
      <c r="C62" s="87"/>
      <c r="D62" s="88"/>
      <c r="E62" s="89"/>
      <c r="F62" s="89"/>
      <c r="G62" s="90"/>
      <c r="H62" s="91"/>
      <c r="I62" s="92" t="str">
        <f aca="false">IF(OR(G62="",H62=""),"",G62*H62)</f>
        <v/>
      </c>
      <c r="J62" s="89"/>
      <c r="K62" s="93" t="str">
        <f aca="true">IF(AND(F62="",D62=""),"",IF(V62="Sí","✖️ Anulado",IF(O62&lt;&gt;"",IF(OR(Q62="Con incidencia",R62&lt;&gt;""),"⚠️ Llegó con incidencia",IF(AND(P62&lt;&gt;"",N(P62)&lt;N(G62)),"🧩 Llegó incompleto","✅ Recibido")),IF(C62="","🛒 Por pedir",IF(AND(N62&lt;&gt;"",TODAY()&gt;N(N62)),"🐢 Retrasado","📦 Pedido (esperando)")))))</f>
        <v/>
      </c>
      <c r="L62" s="94" t="str">
        <f aca="true">IF(OR(N62="",C62="",K62="",K62="✖️ Anulado"),"",IF(O62&lt;&gt;"",MAX(0,O62-N62),IF(TODAY()&gt;N62,TODAY()-N62,"")))</f>
        <v/>
      </c>
      <c r="M62" s="87"/>
      <c r="N62" s="95" t="str">
        <f aca="false">IF(M62&lt;&gt;"",M62,IF(OR(C62="",D62=""),"",IFERROR(IF(INDEX(Listas!$E$5:$E$60,MATCH(D62,Listas!$B$5:$B$60,0))="","",C62+INDEX(Listas!$E$5:$E$60,MATCH(D62,Listas!$B$5:$B$60,0))),"")))</f>
        <v/>
      </c>
      <c r="O62" s="87"/>
      <c r="P62" s="90"/>
      <c r="Q62" s="96"/>
      <c r="R62" s="89"/>
      <c r="S62" s="94" t="str">
        <f aca="false">IF(OR(C62="",O62="",K62="✖️ Anulado"),"",O62-C62)</f>
        <v/>
      </c>
      <c r="T62" s="87"/>
      <c r="U62" s="92" t="str">
        <f aca="false">IF(OR(O62="",K62="✖️ Anulado",AND(T62&lt;&gt;"",T62&lt;&gt;"No")),"",N(H62)*IF(P62="",N(G62),N(P62)))</f>
        <v/>
      </c>
      <c r="V62" s="96"/>
      <c r="W62" s="89"/>
    </row>
    <row r="63" customFormat="false" ht="21" hidden="false" customHeight="true" outlineLevel="0" collapsed="false">
      <c r="A63" s="74" t="n">
        <v>59</v>
      </c>
      <c r="B63" s="86"/>
      <c r="C63" s="87"/>
      <c r="D63" s="88"/>
      <c r="E63" s="89"/>
      <c r="F63" s="89"/>
      <c r="G63" s="90"/>
      <c r="H63" s="91"/>
      <c r="I63" s="92" t="str">
        <f aca="false">IF(OR(G63="",H63=""),"",G63*H63)</f>
        <v/>
      </c>
      <c r="J63" s="89"/>
      <c r="K63" s="93" t="str">
        <f aca="true">IF(AND(F63="",D63=""),"",IF(V63="Sí","✖️ Anulado",IF(O63&lt;&gt;"",IF(OR(Q63="Con incidencia",R63&lt;&gt;""),"⚠️ Llegó con incidencia",IF(AND(P63&lt;&gt;"",N(P63)&lt;N(G63)),"🧩 Llegó incompleto","✅ Recibido")),IF(C63="","🛒 Por pedir",IF(AND(N63&lt;&gt;"",TODAY()&gt;N(N63)),"🐢 Retrasado","📦 Pedido (esperando)")))))</f>
        <v/>
      </c>
      <c r="L63" s="94" t="str">
        <f aca="true">IF(OR(N63="",C63="",K63="",K63="✖️ Anulado"),"",IF(O63&lt;&gt;"",MAX(0,O63-N63),IF(TODAY()&gt;N63,TODAY()-N63,"")))</f>
        <v/>
      </c>
      <c r="M63" s="87"/>
      <c r="N63" s="95" t="str">
        <f aca="false">IF(M63&lt;&gt;"",M63,IF(OR(C63="",D63=""),"",IFERROR(IF(INDEX(Listas!$E$5:$E$60,MATCH(D63,Listas!$B$5:$B$60,0))="","",C63+INDEX(Listas!$E$5:$E$60,MATCH(D63,Listas!$B$5:$B$60,0))),"")))</f>
        <v/>
      </c>
      <c r="O63" s="87"/>
      <c r="P63" s="90"/>
      <c r="Q63" s="96"/>
      <c r="R63" s="89"/>
      <c r="S63" s="94" t="str">
        <f aca="false">IF(OR(C63="",O63="",K63="✖️ Anulado"),"",O63-C63)</f>
        <v/>
      </c>
      <c r="T63" s="87"/>
      <c r="U63" s="92" t="str">
        <f aca="false">IF(OR(O63="",K63="✖️ Anulado",AND(T63&lt;&gt;"",T63&lt;&gt;"No")),"",N(H63)*IF(P63="",N(G63),N(P63)))</f>
        <v/>
      </c>
      <c r="V63" s="96"/>
      <c r="W63" s="89"/>
    </row>
    <row r="64" customFormat="false" ht="21" hidden="false" customHeight="true" outlineLevel="0" collapsed="false">
      <c r="A64" s="74" t="n">
        <v>60</v>
      </c>
      <c r="B64" s="86"/>
      <c r="C64" s="87"/>
      <c r="D64" s="88"/>
      <c r="E64" s="89"/>
      <c r="F64" s="89"/>
      <c r="G64" s="90"/>
      <c r="H64" s="91"/>
      <c r="I64" s="92" t="str">
        <f aca="false">IF(OR(G64="",H64=""),"",G64*H64)</f>
        <v/>
      </c>
      <c r="J64" s="89"/>
      <c r="K64" s="93" t="str">
        <f aca="true">IF(AND(F64="",D64=""),"",IF(V64="Sí","✖️ Anulado",IF(O64&lt;&gt;"",IF(OR(Q64="Con incidencia",R64&lt;&gt;""),"⚠️ Llegó con incidencia",IF(AND(P64&lt;&gt;"",N(P64)&lt;N(G64)),"🧩 Llegó incompleto","✅ Recibido")),IF(C64="","🛒 Por pedir",IF(AND(N64&lt;&gt;"",TODAY()&gt;N(N64)),"🐢 Retrasado","📦 Pedido (esperando)")))))</f>
        <v/>
      </c>
      <c r="L64" s="94" t="str">
        <f aca="true">IF(OR(N64="",C64="",K64="",K64="✖️ Anulado"),"",IF(O64&lt;&gt;"",MAX(0,O64-N64),IF(TODAY()&gt;N64,TODAY()-N64,"")))</f>
        <v/>
      </c>
      <c r="M64" s="87"/>
      <c r="N64" s="95" t="str">
        <f aca="false">IF(M64&lt;&gt;"",M64,IF(OR(C64="",D64=""),"",IFERROR(IF(INDEX(Listas!$E$5:$E$60,MATCH(D64,Listas!$B$5:$B$60,0))="","",C64+INDEX(Listas!$E$5:$E$60,MATCH(D64,Listas!$B$5:$B$60,0))),"")))</f>
        <v/>
      </c>
      <c r="O64" s="87"/>
      <c r="P64" s="90"/>
      <c r="Q64" s="96"/>
      <c r="R64" s="89"/>
      <c r="S64" s="94" t="str">
        <f aca="false">IF(OR(C64="",O64="",K64="✖️ Anulado"),"",O64-C64)</f>
        <v/>
      </c>
      <c r="T64" s="87"/>
      <c r="U64" s="92" t="str">
        <f aca="false">IF(OR(O64="",K64="✖️ Anulado",AND(T64&lt;&gt;"",T64&lt;&gt;"No")),"",N(H64)*IF(P64="",N(G64),N(P64)))</f>
        <v/>
      </c>
      <c r="V64" s="96"/>
      <c r="W64" s="89"/>
    </row>
    <row r="65" customFormat="false" ht="21" hidden="false" customHeight="true" outlineLevel="0" collapsed="false">
      <c r="A65" s="74" t="n">
        <v>61</v>
      </c>
      <c r="B65" s="86"/>
      <c r="C65" s="87"/>
      <c r="D65" s="88"/>
      <c r="E65" s="89"/>
      <c r="F65" s="89"/>
      <c r="G65" s="90"/>
      <c r="H65" s="91"/>
      <c r="I65" s="92" t="str">
        <f aca="false">IF(OR(G65="",H65=""),"",G65*H65)</f>
        <v/>
      </c>
      <c r="J65" s="89"/>
      <c r="K65" s="93" t="str">
        <f aca="true">IF(AND(F65="",D65=""),"",IF(V65="Sí","✖️ Anulado",IF(O65&lt;&gt;"",IF(OR(Q65="Con incidencia",R65&lt;&gt;""),"⚠️ Llegó con incidencia",IF(AND(P65&lt;&gt;"",N(P65)&lt;N(G65)),"🧩 Llegó incompleto","✅ Recibido")),IF(C65="","🛒 Por pedir",IF(AND(N65&lt;&gt;"",TODAY()&gt;N(N65)),"🐢 Retrasado","📦 Pedido (esperando)")))))</f>
        <v/>
      </c>
      <c r="L65" s="94" t="str">
        <f aca="true">IF(OR(N65="",C65="",K65="",K65="✖️ Anulado"),"",IF(O65&lt;&gt;"",MAX(0,O65-N65),IF(TODAY()&gt;N65,TODAY()-N65,"")))</f>
        <v/>
      </c>
      <c r="M65" s="87"/>
      <c r="N65" s="95" t="str">
        <f aca="false">IF(M65&lt;&gt;"",M65,IF(OR(C65="",D65=""),"",IFERROR(IF(INDEX(Listas!$E$5:$E$60,MATCH(D65,Listas!$B$5:$B$60,0))="","",C65+INDEX(Listas!$E$5:$E$60,MATCH(D65,Listas!$B$5:$B$60,0))),"")))</f>
        <v/>
      </c>
      <c r="O65" s="87"/>
      <c r="P65" s="90"/>
      <c r="Q65" s="96"/>
      <c r="R65" s="89"/>
      <c r="S65" s="94" t="str">
        <f aca="false">IF(OR(C65="",O65="",K65="✖️ Anulado"),"",O65-C65)</f>
        <v/>
      </c>
      <c r="T65" s="87"/>
      <c r="U65" s="92" t="str">
        <f aca="false">IF(OR(O65="",K65="✖️ Anulado",AND(T65&lt;&gt;"",T65&lt;&gt;"No")),"",N(H65)*IF(P65="",N(G65),N(P65)))</f>
        <v/>
      </c>
      <c r="V65" s="96"/>
      <c r="W65" s="89"/>
    </row>
    <row r="66" customFormat="false" ht="21" hidden="false" customHeight="true" outlineLevel="0" collapsed="false">
      <c r="A66" s="74" t="n">
        <v>62</v>
      </c>
      <c r="B66" s="86"/>
      <c r="C66" s="87"/>
      <c r="D66" s="88"/>
      <c r="E66" s="89"/>
      <c r="F66" s="89"/>
      <c r="G66" s="90"/>
      <c r="H66" s="91"/>
      <c r="I66" s="92" t="str">
        <f aca="false">IF(OR(G66="",H66=""),"",G66*H66)</f>
        <v/>
      </c>
      <c r="J66" s="89"/>
      <c r="K66" s="93" t="str">
        <f aca="true">IF(AND(F66="",D66=""),"",IF(V66="Sí","✖️ Anulado",IF(O66&lt;&gt;"",IF(OR(Q66="Con incidencia",R66&lt;&gt;""),"⚠️ Llegó con incidencia",IF(AND(P66&lt;&gt;"",N(P66)&lt;N(G66)),"🧩 Llegó incompleto","✅ Recibido")),IF(C66="","🛒 Por pedir",IF(AND(N66&lt;&gt;"",TODAY()&gt;N(N66)),"🐢 Retrasado","📦 Pedido (esperando)")))))</f>
        <v/>
      </c>
      <c r="L66" s="94" t="str">
        <f aca="true">IF(OR(N66="",C66="",K66="",K66="✖️ Anulado"),"",IF(O66&lt;&gt;"",MAX(0,O66-N66),IF(TODAY()&gt;N66,TODAY()-N66,"")))</f>
        <v/>
      </c>
      <c r="M66" s="87"/>
      <c r="N66" s="95" t="str">
        <f aca="false">IF(M66&lt;&gt;"",M66,IF(OR(C66="",D66=""),"",IFERROR(IF(INDEX(Listas!$E$5:$E$60,MATCH(D66,Listas!$B$5:$B$60,0))="","",C66+INDEX(Listas!$E$5:$E$60,MATCH(D66,Listas!$B$5:$B$60,0))),"")))</f>
        <v/>
      </c>
      <c r="O66" s="87"/>
      <c r="P66" s="90"/>
      <c r="Q66" s="96"/>
      <c r="R66" s="89"/>
      <c r="S66" s="94" t="str">
        <f aca="false">IF(OR(C66="",O66="",K66="✖️ Anulado"),"",O66-C66)</f>
        <v/>
      </c>
      <c r="T66" s="87"/>
      <c r="U66" s="92" t="str">
        <f aca="false">IF(OR(O66="",K66="✖️ Anulado",AND(T66&lt;&gt;"",T66&lt;&gt;"No")),"",N(H66)*IF(P66="",N(G66),N(P66)))</f>
        <v/>
      </c>
      <c r="V66" s="96"/>
      <c r="W66" s="89"/>
    </row>
    <row r="67" customFormat="false" ht="21" hidden="false" customHeight="true" outlineLevel="0" collapsed="false">
      <c r="A67" s="74" t="n">
        <v>63</v>
      </c>
      <c r="B67" s="86"/>
      <c r="C67" s="87"/>
      <c r="D67" s="88"/>
      <c r="E67" s="89"/>
      <c r="F67" s="89"/>
      <c r="G67" s="90"/>
      <c r="H67" s="91"/>
      <c r="I67" s="92" t="str">
        <f aca="false">IF(OR(G67="",H67=""),"",G67*H67)</f>
        <v/>
      </c>
      <c r="J67" s="89"/>
      <c r="K67" s="93" t="str">
        <f aca="true">IF(AND(F67="",D67=""),"",IF(V67="Sí","✖️ Anulado",IF(O67&lt;&gt;"",IF(OR(Q67="Con incidencia",R67&lt;&gt;""),"⚠️ Llegó con incidencia",IF(AND(P67&lt;&gt;"",N(P67)&lt;N(G67)),"🧩 Llegó incompleto","✅ Recibido")),IF(C67="","🛒 Por pedir",IF(AND(N67&lt;&gt;"",TODAY()&gt;N(N67)),"🐢 Retrasado","📦 Pedido (esperando)")))))</f>
        <v/>
      </c>
      <c r="L67" s="94" t="str">
        <f aca="true">IF(OR(N67="",C67="",K67="",K67="✖️ Anulado"),"",IF(O67&lt;&gt;"",MAX(0,O67-N67),IF(TODAY()&gt;N67,TODAY()-N67,"")))</f>
        <v/>
      </c>
      <c r="M67" s="87"/>
      <c r="N67" s="95" t="str">
        <f aca="false">IF(M67&lt;&gt;"",M67,IF(OR(C67="",D67=""),"",IFERROR(IF(INDEX(Listas!$E$5:$E$60,MATCH(D67,Listas!$B$5:$B$60,0))="","",C67+INDEX(Listas!$E$5:$E$60,MATCH(D67,Listas!$B$5:$B$60,0))),"")))</f>
        <v/>
      </c>
      <c r="O67" s="87"/>
      <c r="P67" s="90"/>
      <c r="Q67" s="96"/>
      <c r="R67" s="89"/>
      <c r="S67" s="94" t="str">
        <f aca="false">IF(OR(C67="",O67="",K67="✖️ Anulado"),"",O67-C67)</f>
        <v/>
      </c>
      <c r="T67" s="87"/>
      <c r="U67" s="92" t="str">
        <f aca="false">IF(OR(O67="",K67="✖️ Anulado",AND(T67&lt;&gt;"",T67&lt;&gt;"No")),"",N(H67)*IF(P67="",N(G67),N(P67)))</f>
        <v/>
      </c>
      <c r="V67" s="96"/>
      <c r="W67" s="89"/>
    </row>
    <row r="68" customFormat="false" ht="21" hidden="false" customHeight="true" outlineLevel="0" collapsed="false">
      <c r="A68" s="74" t="n">
        <v>64</v>
      </c>
      <c r="B68" s="86"/>
      <c r="C68" s="87"/>
      <c r="D68" s="88"/>
      <c r="E68" s="89"/>
      <c r="F68" s="89"/>
      <c r="G68" s="90"/>
      <c r="H68" s="91"/>
      <c r="I68" s="92" t="str">
        <f aca="false">IF(OR(G68="",H68=""),"",G68*H68)</f>
        <v/>
      </c>
      <c r="J68" s="89"/>
      <c r="K68" s="93" t="str">
        <f aca="true">IF(AND(F68="",D68=""),"",IF(V68="Sí","✖️ Anulado",IF(O68&lt;&gt;"",IF(OR(Q68="Con incidencia",R68&lt;&gt;""),"⚠️ Llegó con incidencia",IF(AND(P68&lt;&gt;"",N(P68)&lt;N(G68)),"🧩 Llegó incompleto","✅ Recibido")),IF(C68="","🛒 Por pedir",IF(AND(N68&lt;&gt;"",TODAY()&gt;N(N68)),"🐢 Retrasado","📦 Pedido (esperando)")))))</f>
        <v/>
      </c>
      <c r="L68" s="94" t="str">
        <f aca="true">IF(OR(N68="",C68="",K68="",K68="✖️ Anulado"),"",IF(O68&lt;&gt;"",MAX(0,O68-N68),IF(TODAY()&gt;N68,TODAY()-N68,"")))</f>
        <v/>
      </c>
      <c r="M68" s="87"/>
      <c r="N68" s="95" t="str">
        <f aca="false">IF(M68&lt;&gt;"",M68,IF(OR(C68="",D68=""),"",IFERROR(IF(INDEX(Listas!$E$5:$E$60,MATCH(D68,Listas!$B$5:$B$60,0))="","",C68+INDEX(Listas!$E$5:$E$60,MATCH(D68,Listas!$B$5:$B$60,0))),"")))</f>
        <v/>
      </c>
      <c r="O68" s="87"/>
      <c r="P68" s="90"/>
      <c r="Q68" s="96"/>
      <c r="R68" s="89"/>
      <c r="S68" s="94" t="str">
        <f aca="false">IF(OR(C68="",O68="",K68="✖️ Anulado"),"",O68-C68)</f>
        <v/>
      </c>
      <c r="T68" s="87"/>
      <c r="U68" s="92" t="str">
        <f aca="false">IF(OR(O68="",K68="✖️ Anulado",AND(T68&lt;&gt;"",T68&lt;&gt;"No")),"",N(H68)*IF(P68="",N(G68),N(P68)))</f>
        <v/>
      </c>
      <c r="V68" s="96"/>
      <c r="W68" s="89"/>
    </row>
    <row r="69" customFormat="false" ht="21" hidden="false" customHeight="true" outlineLevel="0" collapsed="false">
      <c r="A69" s="74" t="n">
        <v>65</v>
      </c>
      <c r="B69" s="86"/>
      <c r="C69" s="87"/>
      <c r="D69" s="88"/>
      <c r="E69" s="89"/>
      <c r="F69" s="89"/>
      <c r="G69" s="90"/>
      <c r="H69" s="91"/>
      <c r="I69" s="92" t="str">
        <f aca="false">IF(OR(G69="",H69=""),"",G69*H69)</f>
        <v/>
      </c>
      <c r="J69" s="89"/>
      <c r="K69" s="93" t="str">
        <f aca="true">IF(AND(F69="",D69=""),"",IF(V69="Sí","✖️ Anulado",IF(O69&lt;&gt;"",IF(OR(Q69="Con incidencia",R69&lt;&gt;""),"⚠️ Llegó con incidencia",IF(AND(P69&lt;&gt;"",N(P69)&lt;N(G69)),"🧩 Llegó incompleto","✅ Recibido")),IF(C69="","🛒 Por pedir",IF(AND(N69&lt;&gt;"",TODAY()&gt;N(N69)),"🐢 Retrasado","📦 Pedido (esperando)")))))</f>
        <v/>
      </c>
      <c r="L69" s="94" t="str">
        <f aca="true">IF(OR(N69="",C69="",K69="",K69="✖️ Anulado"),"",IF(O69&lt;&gt;"",MAX(0,O69-N69),IF(TODAY()&gt;N69,TODAY()-N69,"")))</f>
        <v/>
      </c>
      <c r="M69" s="87"/>
      <c r="N69" s="95" t="str">
        <f aca="false">IF(M69&lt;&gt;"",M69,IF(OR(C69="",D69=""),"",IFERROR(IF(INDEX(Listas!$E$5:$E$60,MATCH(D69,Listas!$B$5:$B$60,0))="","",C69+INDEX(Listas!$E$5:$E$60,MATCH(D69,Listas!$B$5:$B$60,0))),"")))</f>
        <v/>
      </c>
      <c r="O69" s="87"/>
      <c r="P69" s="90"/>
      <c r="Q69" s="96"/>
      <c r="R69" s="89"/>
      <c r="S69" s="94" t="str">
        <f aca="false">IF(OR(C69="",O69="",K69="✖️ Anulado"),"",O69-C69)</f>
        <v/>
      </c>
      <c r="T69" s="87"/>
      <c r="U69" s="92" t="str">
        <f aca="false">IF(OR(O69="",K69="✖️ Anulado",AND(T69&lt;&gt;"",T69&lt;&gt;"No")),"",N(H69)*IF(P69="",N(G69),N(P69)))</f>
        <v/>
      </c>
      <c r="V69" s="96"/>
      <c r="W69" s="89"/>
    </row>
    <row r="70" customFormat="false" ht="21" hidden="false" customHeight="true" outlineLevel="0" collapsed="false">
      <c r="A70" s="74" t="n">
        <v>66</v>
      </c>
      <c r="B70" s="86"/>
      <c r="C70" s="87"/>
      <c r="D70" s="88"/>
      <c r="E70" s="89"/>
      <c r="F70" s="89"/>
      <c r="G70" s="90"/>
      <c r="H70" s="91"/>
      <c r="I70" s="92" t="str">
        <f aca="false">IF(OR(G70="",H70=""),"",G70*H70)</f>
        <v/>
      </c>
      <c r="J70" s="89"/>
      <c r="K70" s="93" t="str">
        <f aca="true">IF(AND(F70="",D70=""),"",IF(V70="Sí","✖️ Anulado",IF(O70&lt;&gt;"",IF(OR(Q70="Con incidencia",R70&lt;&gt;""),"⚠️ Llegó con incidencia",IF(AND(P70&lt;&gt;"",N(P70)&lt;N(G70)),"🧩 Llegó incompleto","✅ Recibido")),IF(C70="","🛒 Por pedir",IF(AND(N70&lt;&gt;"",TODAY()&gt;N(N70)),"🐢 Retrasado","📦 Pedido (esperando)")))))</f>
        <v/>
      </c>
      <c r="L70" s="94" t="str">
        <f aca="true">IF(OR(N70="",C70="",K70="",K70="✖️ Anulado"),"",IF(O70&lt;&gt;"",MAX(0,O70-N70),IF(TODAY()&gt;N70,TODAY()-N70,"")))</f>
        <v/>
      </c>
      <c r="M70" s="87"/>
      <c r="N70" s="95" t="str">
        <f aca="false">IF(M70&lt;&gt;"",M70,IF(OR(C70="",D70=""),"",IFERROR(IF(INDEX(Listas!$E$5:$E$60,MATCH(D70,Listas!$B$5:$B$60,0))="","",C70+INDEX(Listas!$E$5:$E$60,MATCH(D70,Listas!$B$5:$B$60,0))),"")))</f>
        <v/>
      </c>
      <c r="O70" s="87"/>
      <c r="P70" s="90"/>
      <c r="Q70" s="96"/>
      <c r="R70" s="89"/>
      <c r="S70" s="94" t="str">
        <f aca="false">IF(OR(C70="",O70="",K70="✖️ Anulado"),"",O70-C70)</f>
        <v/>
      </c>
      <c r="T70" s="87"/>
      <c r="U70" s="92" t="str">
        <f aca="false">IF(OR(O70="",K70="✖️ Anulado",AND(T70&lt;&gt;"",T70&lt;&gt;"No")),"",N(H70)*IF(P70="",N(G70),N(P70)))</f>
        <v/>
      </c>
      <c r="V70" s="96"/>
      <c r="W70" s="89"/>
    </row>
    <row r="71" customFormat="false" ht="21" hidden="false" customHeight="true" outlineLevel="0" collapsed="false">
      <c r="A71" s="74" t="n">
        <v>67</v>
      </c>
      <c r="B71" s="86"/>
      <c r="C71" s="87"/>
      <c r="D71" s="88"/>
      <c r="E71" s="89"/>
      <c r="F71" s="89"/>
      <c r="G71" s="90"/>
      <c r="H71" s="91"/>
      <c r="I71" s="92" t="str">
        <f aca="false">IF(OR(G71="",H71=""),"",G71*H71)</f>
        <v/>
      </c>
      <c r="J71" s="89"/>
      <c r="K71" s="93" t="str">
        <f aca="true">IF(AND(F71="",D71=""),"",IF(V71="Sí","✖️ Anulado",IF(O71&lt;&gt;"",IF(OR(Q71="Con incidencia",R71&lt;&gt;""),"⚠️ Llegó con incidencia",IF(AND(P71&lt;&gt;"",N(P71)&lt;N(G71)),"🧩 Llegó incompleto","✅ Recibido")),IF(C71="","🛒 Por pedir",IF(AND(N71&lt;&gt;"",TODAY()&gt;N(N71)),"🐢 Retrasado","📦 Pedido (esperando)")))))</f>
        <v/>
      </c>
      <c r="L71" s="94" t="str">
        <f aca="true">IF(OR(N71="",C71="",K71="",K71="✖️ Anulado"),"",IF(O71&lt;&gt;"",MAX(0,O71-N71),IF(TODAY()&gt;N71,TODAY()-N71,"")))</f>
        <v/>
      </c>
      <c r="M71" s="87"/>
      <c r="N71" s="95" t="str">
        <f aca="false">IF(M71&lt;&gt;"",M71,IF(OR(C71="",D71=""),"",IFERROR(IF(INDEX(Listas!$E$5:$E$60,MATCH(D71,Listas!$B$5:$B$60,0))="","",C71+INDEX(Listas!$E$5:$E$60,MATCH(D71,Listas!$B$5:$B$60,0))),"")))</f>
        <v/>
      </c>
      <c r="O71" s="87"/>
      <c r="P71" s="90"/>
      <c r="Q71" s="96"/>
      <c r="R71" s="89"/>
      <c r="S71" s="94" t="str">
        <f aca="false">IF(OR(C71="",O71="",K71="✖️ Anulado"),"",O71-C71)</f>
        <v/>
      </c>
      <c r="T71" s="87"/>
      <c r="U71" s="92" t="str">
        <f aca="false">IF(OR(O71="",K71="✖️ Anulado",AND(T71&lt;&gt;"",T71&lt;&gt;"No")),"",N(H71)*IF(P71="",N(G71),N(P71)))</f>
        <v/>
      </c>
      <c r="V71" s="96"/>
      <c r="W71" s="89"/>
    </row>
    <row r="72" customFormat="false" ht="21" hidden="false" customHeight="true" outlineLevel="0" collapsed="false">
      <c r="A72" s="74" t="n">
        <v>68</v>
      </c>
      <c r="B72" s="86"/>
      <c r="C72" s="87"/>
      <c r="D72" s="88"/>
      <c r="E72" s="89"/>
      <c r="F72" s="89"/>
      <c r="G72" s="90"/>
      <c r="H72" s="91"/>
      <c r="I72" s="92" t="str">
        <f aca="false">IF(OR(G72="",H72=""),"",G72*H72)</f>
        <v/>
      </c>
      <c r="J72" s="89"/>
      <c r="K72" s="93" t="str">
        <f aca="true">IF(AND(F72="",D72=""),"",IF(V72="Sí","✖️ Anulado",IF(O72&lt;&gt;"",IF(OR(Q72="Con incidencia",R72&lt;&gt;""),"⚠️ Llegó con incidencia",IF(AND(P72&lt;&gt;"",N(P72)&lt;N(G72)),"🧩 Llegó incompleto","✅ Recibido")),IF(C72="","🛒 Por pedir",IF(AND(N72&lt;&gt;"",TODAY()&gt;N(N72)),"🐢 Retrasado","📦 Pedido (esperando)")))))</f>
        <v/>
      </c>
      <c r="L72" s="94" t="str">
        <f aca="true">IF(OR(N72="",C72="",K72="",K72="✖️ Anulado"),"",IF(O72&lt;&gt;"",MAX(0,O72-N72),IF(TODAY()&gt;N72,TODAY()-N72,"")))</f>
        <v/>
      </c>
      <c r="M72" s="87"/>
      <c r="N72" s="95" t="str">
        <f aca="false">IF(M72&lt;&gt;"",M72,IF(OR(C72="",D72=""),"",IFERROR(IF(INDEX(Listas!$E$5:$E$60,MATCH(D72,Listas!$B$5:$B$60,0))="","",C72+INDEX(Listas!$E$5:$E$60,MATCH(D72,Listas!$B$5:$B$60,0))),"")))</f>
        <v/>
      </c>
      <c r="O72" s="87"/>
      <c r="P72" s="90"/>
      <c r="Q72" s="96"/>
      <c r="R72" s="89"/>
      <c r="S72" s="94" t="str">
        <f aca="false">IF(OR(C72="",O72="",K72="✖️ Anulado"),"",O72-C72)</f>
        <v/>
      </c>
      <c r="T72" s="87"/>
      <c r="U72" s="92" t="str">
        <f aca="false">IF(OR(O72="",K72="✖️ Anulado",AND(T72&lt;&gt;"",T72&lt;&gt;"No")),"",N(H72)*IF(P72="",N(G72),N(P72)))</f>
        <v/>
      </c>
      <c r="V72" s="96"/>
      <c r="W72" s="89"/>
    </row>
    <row r="73" customFormat="false" ht="21" hidden="false" customHeight="true" outlineLevel="0" collapsed="false">
      <c r="A73" s="74" t="n">
        <v>69</v>
      </c>
      <c r="B73" s="86"/>
      <c r="C73" s="87"/>
      <c r="D73" s="88"/>
      <c r="E73" s="89"/>
      <c r="F73" s="89"/>
      <c r="G73" s="90"/>
      <c r="H73" s="91"/>
      <c r="I73" s="92" t="str">
        <f aca="false">IF(OR(G73="",H73=""),"",G73*H73)</f>
        <v/>
      </c>
      <c r="J73" s="89"/>
      <c r="K73" s="93" t="str">
        <f aca="true">IF(AND(F73="",D73=""),"",IF(V73="Sí","✖️ Anulado",IF(O73&lt;&gt;"",IF(OR(Q73="Con incidencia",R73&lt;&gt;""),"⚠️ Llegó con incidencia",IF(AND(P73&lt;&gt;"",N(P73)&lt;N(G73)),"🧩 Llegó incompleto","✅ Recibido")),IF(C73="","🛒 Por pedir",IF(AND(N73&lt;&gt;"",TODAY()&gt;N(N73)),"🐢 Retrasado","📦 Pedido (esperando)")))))</f>
        <v/>
      </c>
      <c r="L73" s="94" t="str">
        <f aca="true">IF(OR(N73="",C73="",K73="",K73="✖️ Anulado"),"",IF(O73&lt;&gt;"",MAX(0,O73-N73),IF(TODAY()&gt;N73,TODAY()-N73,"")))</f>
        <v/>
      </c>
      <c r="M73" s="87"/>
      <c r="N73" s="95" t="str">
        <f aca="false">IF(M73&lt;&gt;"",M73,IF(OR(C73="",D73=""),"",IFERROR(IF(INDEX(Listas!$E$5:$E$60,MATCH(D73,Listas!$B$5:$B$60,0))="","",C73+INDEX(Listas!$E$5:$E$60,MATCH(D73,Listas!$B$5:$B$60,0))),"")))</f>
        <v/>
      </c>
      <c r="O73" s="87"/>
      <c r="P73" s="90"/>
      <c r="Q73" s="96"/>
      <c r="R73" s="89"/>
      <c r="S73" s="94" t="str">
        <f aca="false">IF(OR(C73="",O73="",K73="✖️ Anulado"),"",O73-C73)</f>
        <v/>
      </c>
      <c r="T73" s="87"/>
      <c r="U73" s="92" t="str">
        <f aca="false">IF(OR(O73="",K73="✖️ Anulado",AND(T73&lt;&gt;"",T73&lt;&gt;"No")),"",N(H73)*IF(P73="",N(G73),N(P73)))</f>
        <v/>
      </c>
      <c r="V73" s="96"/>
      <c r="W73" s="89"/>
    </row>
    <row r="74" customFormat="false" ht="21" hidden="false" customHeight="true" outlineLevel="0" collapsed="false">
      <c r="A74" s="74" t="n">
        <v>70</v>
      </c>
      <c r="B74" s="86"/>
      <c r="C74" s="87"/>
      <c r="D74" s="88"/>
      <c r="E74" s="89"/>
      <c r="F74" s="89"/>
      <c r="G74" s="90"/>
      <c r="H74" s="91"/>
      <c r="I74" s="92" t="str">
        <f aca="false">IF(OR(G74="",H74=""),"",G74*H74)</f>
        <v/>
      </c>
      <c r="J74" s="89"/>
      <c r="K74" s="93" t="str">
        <f aca="true">IF(AND(F74="",D74=""),"",IF(V74="Sí","✖️ Anulado",IF(O74&lt;&gt;"",IF(OR(Q74="Con incidencia",R74&lt;&gt;""),"⚠️ Llegó con incidencia",IF(AND(P74&lt;&gt;"",N(P74)&lt;N(G74)),"🧩 Llegó incompleto","✅ Recibido")),IF(C74="","🛒 Por pedir",IF(AND(N74&lt;&gt;"",TODAY()&gt;N(N74)),"🐢 Retrasado","📦 Pedido (esperando)")))))</f>
        <v/>
      </c>
      <c r="L74" s="94" t="str">
        <f aca="true">IF(OR(N74="",C74="",K74="",K74="✖️ Anulado"),"",IF(O74&lt;&gt;"",MAX(0,O74-N74),IF(TODAY()&gt;N74,TODAY()-N74,"")))</f>
        <v/>
      </c>
      <c r="M74" s="87"/>
      <c r="N74" s="95" t="str">
        <f aca="false">IF(M74&lt;&gt;"",M74,IF(OR(C74="",D74=""),"",IFERROR(IF(INDEX(Listas!$E$5:$E$60,MATCH(D74,Listas!$B$5:$B$60,0))="","",C74+INDEX(Listas!$E$5:$E$60,MATCH(D74,Listas!$B$5:$B$60,0))),"")))</f>
        <v/>
      </c>
      <c r="O74" s="87"/>
      <c r="P74" s="90"/>
      <c r="Q74" s="96"/>
      <c r="R74" s="89"/>
      <c r="S74" s="94" t="str">
        <f aca="false">IF(OR(C74="",O74="",K74="✖️ Anulado"),"",O74-C74)</f>
        <v/>
      </c>
      <c r="T74" s="87"/>
      <c r="U74" s="92" t="str">
        <f aca="false">IF(OR(O74="",K74="✖️ Anulado",AND(T74&lt;&gt;"",T74&lt;&gt;"No")),"",N(H74)*IF(P74="",N(G74),N(P74)))</f>
        <v/>
      </c>
      <c r="V74" s="96"/>
      <c r="W74" s="89"/>
    </row>
    <row r="75" customFormat="false" ht="21" hidden="false" customHeight="true" outlineLevel="0" collapsed="false">
      <c r="A75" s="74" t="n">
        <v>71</v>
      </c>
      <c r="B75" s="86"/>
      <c r="C75" s="87"/>
      <c r="D75" s="88"/>
      <c r="E75" s="89"/>
      <c r="F75" s="89"/>
      <c r="G75" s="90"/>
      <c r="H75" s="91"/>
      <c r="I75" s="92" t="str">
        <f aca="false">IF(OR(G75="",H75=""),"",G75*H75)</f>
        <v/>
      </c>
      <c r="J75" s="89"/>
      <c r="K75" s="93" t="str">
        <f aca="true">IF(AND(F75="",D75=""),"",IF(V75="Sí","✖️ Anulado",IF(O75&lt;&gt;"",IF(OR(Q75="Con incidencia",R75&lt;&gt;""),"⚠️ Llegó con incidencia",IF(AND(P75&lt;&gt;"",N(P75)&lt;N(G75)),"🧩 Llegó incompleto","✅ Recibido")),IF(C75="","🛒 Por pedir",IF(AND(N75&lt;&gt;"",TODAY()&gt;N(N75)),"🐢 Retrasado","📦 Pedido (esperando)")))))</f>
        <v/>
      </c>
      <c r="L75" s="94" t="str">
        <f aca="true">IF(OR(N75="",C75="",K75="",K75="✖️ Anulado"),"",IF(O75&lt;&gt;"",MAX(0,O75-N75),IF(TODAY()&gt;N75,TODAY()-N75,"")))</f>
        <v/>
      </c>
      <c r="M75" s="87"/>
      <c r="N75" s="95" t="str">
        <f aca="false">IF(M75&lt;&gt;"",M75,IF(OR(C75="",D75=""),"",IFERROR(IF(INDEX(Listas!$E$5:$E$60,MATCH(D75,Listas!$B$5:$B$60,0))="","",C75+INDEX(Listas!$E$5:$E$60,MATCH(D75,Listas!$B$5:$B$60,0))),"")))</f>
        <v/>
      </c>
      <c r="O75" s="87"/>
      <c r="P75" s="90"/>
      <c r="Q75" s="96"/>
      <c r="R75" s="89"/>
      <c r="S75" s="94" t="str">
        <f aca="false">IF(OR(C75="",O75="",K75="✖️ Anulado"),"",O75-C75)</f>
        <v/>
      </c>
      <c r="T75" s="87"/>
      <c r="U75" s="92" t="str">
        <f aca="false">IF(OR(O75="",K75="✖️ Anulado",AND(T75&lt;&gt;"",T75&lt;&gt;"No")),"",N(H75)*IF(P75="",N(G75),N(P75)))</f>
        <v/>
      </c>
      <c r="V75" s="96"/>
      <c r="W75" s="89"/>
    </row>
    <row r="76" customFormat="false" ht="21" hidden="false" customHeight="true" outlineLevel="0" collapsed="false">
      <c r="A76" s="74" t="n">
        <v>72</v>
      </c>
      <c r="B76" s="86"/>
      <c r="C76" s="87"/>
      <c r="D76" s="88"/>
      <c r="E76" s="89"/>
      <c r="F76" s="89"/>
      <c r="G76" s="90"/>
      <c r="H76" s="91"/>
      <c r="I76" s="92" t="str">
        <f aca="false">IF(OR(G76="",H76=""),"",G76*H76)</f>
        <v/>
      </c>
      <c r="J76" s="89"/>
      <c r="K76" s="93" t="str">
        <f aca="true">IF(AND(F76="",D76=""),"",IF(V76="Sí","✖️ Anulado",IF(O76&lt;&gt;"",IF(OR(Q76="Con incidencia",R76&lt;&gt;""),"⚠️ Llegó con incidencia",IF(AND(P76&lt;&gt;"",N(P76)&lt;N(G76)),"🧩 Llegó incompleto","✅ Recibido")),IF(C76="","🛒 Por pedir",IF(AND(N76&lt;&gt;"",TODAY()&gt;N(N76)),"🐢 Retrasado","📦 Pedido (esperando)")))))</f>
        <v/>
      </c>
      <c r="L76" s="94" t="str">
        <f aca="true">IF(OR(N76="",C76="",K76="",K76="✖️ Anulado"),"",IF(O76&lt;&gt;"",MAX(0,O76-N76),IF(TODAY()&gt;N76,TODAY()-N76,"")))</f>
        <v/>
      </c>
      <c r="M76" s="87"/>
      <c r="N76" s="95" t="str">
        <f aca="false">IF(M76&lt;&gt;"",M76,IF(OR(C76="",D76=""),"",IFERROR(IF(INDEX(Listas!$E$5:$E$60,MATCH(D76,Listas!$B$5:$B$60,0))="","",C76+INDEX(Listas!$E$5:$E$60,MATCH(D76,Listas!$B$5:$B$60,0))),"")))</f>
        <v/>
      </c>
      <c r="O76" s="87"/>
      <c r="P76" s="90"/>
      <c r="Q76" s="96"/>
      <c r="R76" s="89"/>
      <c r="S76" s="94" t="str">
        <f aca="false">IF(OR(C76="",O76="",K76="✖️ Anulado"),"",O76-C76)</f>
        <v/>
      </c>
      <c r="T76" s="87"/>
      <c r="U76" s="92" t="str">
        <f aca="false">IF(OR(O76="",K76="✖️ Anulado",AND(T76&lt;&gt;"",T76&lt;&gt;"No")),"",N(H76)*IF(P76="",N(G76),N(P76)))</f>
        <v/>
      </c>
      <c r="V76" s="96"/>
      <c r="W76" s="89"/>
    </row>
    <row r="77" customFormat="false" ht="21" hidden="false" customHeight="true" outlineLevel="0" collapsed="false">
      <c r="A77" s="74" t="n">
        <v>73</v>
      </c>
      <c r="B77" s="86"/>
      <c r="C77" s="87"/>
      <c r="D77" s="88"/>
      <c r="E77" s="89"/>
      <c r="F77" s="89"/>
      <c r="G77" s="90"/>
      <c r="H77" s="91"/>
      <c r="I77" s="92" t="str">
        <f aca="false">IF(OR(G77="",H77=""),"",G77*H77)</f>
        <v/>
      </c>
      <c r="J77" s="89"/>
      <c r="K77" s="93" t="str">
        <f aca="true">IF(AND(F77="",D77=""),"",IF(V77="Sí","✖️ Anulado",IF(O77&lt;&gt;"",IF(OR(Q77="Con incidencia",R77&lt;&gt;""),"⚠️ Llegó con incidencia",IF(AND(P77&lt;&gt;"",N(P77)&lt;N(G77)),"🧩 Llegó incompleto","✅ Recibido")),IF(C77="","🛒 Por pedir",IF(AND(N77&lt;&gt;"",TODAY()&gt;N(N77)),"🐢 Retrasado","📦 Pedido (esperando)")))))</f>
        <v/>
      </c>
      <c r="L77" s="94" t="str">
        <f aca="true">IF(OR(N77="",C77="",K77="",K77="✖️ Anulado"),"",IF(O77&lt;&gt;"",MAX(0,O77-N77),IF(TODAY()&gt;N77,TODAY()-N77,"")))</f>
        <v/>
      </c>
      <c r="M77" s="87"/>
      <c r="N77" s="95" t="str">
        <f aca="false">IF(M77&lt;&gt;"",M77,IF(OR(C77="",D77=""),"",IFERROR(IF(INDEX(Listas!$E$5:$E$60,MATCH(D77,Listas!$B$5:$B$60,0))="","",C77+INDEX(Listas!$E$5:$E$60,MATCH(D77,Listas!$B$5:$B$60,0))),"")))</f>
        <v/>
      </c>
      <c r="O77" s="87"/>
      <c r="P77" s="90"/>
      <c r="Q77" s="96"/>
      <c r="R77" s="89"/>
      <c r="S77" s="94" t="str">
        <f aca="false">IF(OR(C77="",O77="",K77="✖️ Anulado"),"",O77-C77)</f>
        <v/>
      </c>
      <c r="T77" s="87"/>
      <c r="U77" s="92" t="str">
        <f aca="false">IF(OR(O77="",K77="✖️ Anulado",AND(T77&lt;&gt;"",T77&lt;&gt;"No")),"",N(H77)*IF(P77="",N(G77),N(P77)))</f>
        <v/>
      </c>
      <c r="V77" s="96"/>
      <c r="W77" s="89"/>
    </row>
    <row r="78" customFormat="false" ht="21" hidden="false" customHeight="true" outlineLevel="0" collapsed="false">
      <c r="A78" s="74" t="n">
        <v>74</v>
      </c>
      <c r="B78" s="86"/>
      <c r="C78" s="87"/>
      <c r="D78" s="88"/>
      <c r="E78" s="89"/>
      <c r="F78" s="89"/>
      <c r="G78" s="90"/>
      <c r="H78" s="91"/>
      <c r="I78" s="92" t="str">
        <f aca="false">IF(OR(G78="",H78=""),"",G78*H78)</f>
        <v/>
      </c>
      <c r="J78" s="89"/>
      <c r="K78" s="93" t="str">
        <f aca="true">IF(AND(F78="",D78=""),"",IF(V78="Sí","✖️ Anulado",IF(O78&lt;&gt;"",IF(OR(Q78="Con incidencia",R78&lt;&gt;""),"⚠️ Llegó con incidencia",IF(AND(P78&lt;&gt;"",N(P78)&lt;N(G78)),"🧩 Llegó incompleto","✅ Recibido")),IF(C78="","🛒 Por pedir",IF(AND(N78&lt;&gt;"",TODAY()&gt;N(N78)),"🐢 Retrasado","📦 Pedido (esperando)")))))</f>
        <v/>
      </c>
      <c r="L78" s="94" t="str">
        <f aca="true">IF(OR(N78="",C78="",K78="",K78="✖️ Anulado"),"",IF(O78&lt;&gt;"",MAX(0,O78-N78),IF(TODAY()&gt;N78,TODAY()-N78,"")))</f>
        <v/>
      </c>
      <c r="M78" s="87"/>
      <c r="N78" s="95" t="str">
        <f aca="false">IF(M78&lt;&gt;"",M78,IF(OR(C78="",D78=""),"",IFERROR(IF(INDEX(Listas!$E$5:$E$60,MATCH(D78,Listas!$B$5:$B$60,0))="","",C78+INDEX(Listas!$E$5:$E$60,MATCH(D78,Listas!$B$5:$B$60,0))),"")))</f>
        <v/>
      </c>
      <c r="O78" s="87"/>
      <c r="P78" s="90"/>
      <c r="Q78" s="96"/>
      <c r="R78" s="89"/>
      <c r="S78" s="94" t="str">
        <f aca="false">IF(OR(C78="",O78="",K78="✖️ Anulado"),"",O78-C78)</f>
        <v/>
      </c>
      <c r="T78" s="87"/>
      <c r="U78" s="92" t="str">
        <f aca="false">IF(OR(O78="",K78="✖️ Anulado",AND(T78&lt;&gt;"",T78&lt;&gt;"No")),"",N(H78)*IF(P78="",N(G78),N(P78)))</f>
        <v/>
      </c>
      <c r="V78" s="96"/>
      <c r="W78" s="89"/>
    </row>
    <row r="79" customFormat="false" ht="21" hidden="false" customHeight="true" outlineLevel="0" collapsed="false">
      <c r="A79" s="74" t="n">
        <v>75</v>
      </c>
      <c r="B79" s="86"/>
      <c r="C79" s="87"/>
      <c r="D79" s="88"/>
      <c r="E79" s="89"/>
      <c r="F79" s="89"/>
      <c r="G79" s="90"/>
      <c r="H79" s="91"/>
      <c r="I79" s="92" t="str">
        <f aca="false">IF(OR(G79="",H79=""),"",G79*H79)</f>
        <v/>
      </c>
      <c r="J79" s="89"/>
      <c r="K79" s="93" t="str">
        <f aca="true">IF(AND(F79="",D79=""),"",IF(V79="Sí","✖️ Anulado",IF(O79&lt;&gt;"",IF(OR(Q79="Con incidencia",R79&lt;&gt;""),"⚠️ Llegó con incidencia",IF(AND(P79&lt;&gt;"",N(P79)&lt;N(G79)),"🧩 Llegó incompleto","✅ Recibido")),IF(C79="","🛒 Por pedir",IF(AND(N79&lt;&gt;"",TODAY()&gt;N(N79)),"🐢 Retrasado","📦 Pedido (esperando)")))))</f>
        <v/>
      </c>
      <c r="L79" s="94" t="str">
        <f aca="true">IF(OR(N79="",C79="",K79="",K79="✖️ Anulado"),"",IF(O79&lt;&gt;"",MAX(0,O79-N79),IF(TODAY()&gt;N79,TODAY()-N79,"")))</f>
        <v/>
      </c>
      <c r="M79" s="87"/>
      <c r="N79" s="95" t="str">
        <f aca="false">IF(M79&lt;&gt;"",M79,IF(OR(C79="",D79=""),"",IFERROR(IF(INDEX(Listas!$E$5:$E$60,MATCH(D79,Listas!$B$5:$B$60,0))="","",C79+INDEX(Listas!$E$5:$E$60,MATCH(D79,Listas!$B$5:$B$60,0))),"")))</f>
        <v/>
      </c>
      <c r="O79" s="87"/>
      <c r="P79" s="90"/>
      <c r="Q79" s="96"/>
      <c r="R79" s="89"/>
      <c r="S79" s="94" t="str">
        <f aca="false">IF(OR(C79="",O79="",K79="✖️ Anulado"),"",O79-C79)</f>
        <v/>
      </c>
      <c r="T79" s="87"/>
      <c r="U79" s="92" t="str">
        <f aca="false">IF(OR(O79="",K79="✖️ Anulado",AND(T79&lt;&gt;"",T79&lt;&gt;"No")),"",N(H79)*IF(P79="",N(G79),N(P79)))</f>
        <v/>
      </c>
      <c r="V79" s="96"/>
      <c r="W79" s="89"/>
    </row>
    <row r="80" customFormat="false" ht="21" hidden="false" customHeight="true" outlineLevel="0" collapsed="false">
      <c r="A80" s="74" t="n">
        <v>76</v>
      </c>
      <c r="B80" s="86"/>
      <c r="C80" s="87"/>
      <c r="D80" s="88"/>
      <c r="E80" s="89"/>
      <c r="F80" s="89"/>
      <c r="G80" s="90"/>
      <c r="H80" s="91"/>
      <c r="I80" s="92" t="str">
        <f aca="false">IF(OR(G80="",H80=""),"",G80*H80)</f>
        <v/>
      </c>
      <c r="J80" s="89"/>
      <c r="K80" s="93" t="str">
        <f aca="true">IF(AND(F80="",D80=""),"",IF(V80="Sí","✖️ Anulado",IF(O80&lt;&gt;"",IF(OR(Q80="Con incidencia",R80&lt;&gt;""),"⚠️ Llegó con incidencia",IF(AND(P80&lt;&gt;"",N(P80)&lt;N(G80)),"🧩 Llegó incompleto","✅ Recibido")),IF(C80="","🛒 Por pedir",IF(AND(N80&lt;&gt;"",TODAY()&gt;N(N80)),"🐢 Retrasado","📦 Pedido (esperando)")))))</f>
        <v/>
      </c>
      <c r="L80" s="94" t="str">
        <f aca="true">IF(OR(N80="",C80="",K80="",K80="✖️ Anulado"),"",IF(O80&lt;&gt;"",MAX(0,O80-N80),IF(TODAY()&gt;N80,TODAY()-N80,"")))</f>
        <v/>
      </c>
      <c r="M80" s="87"/>
      <c r="N80" s="95" t="str">
        <f aca="false">IF(M80&lt;&gt;"",M80,IF(OR(C80="",D80=""),"",IFERROR(IF(INDEX(Listas!$E$5:$E$60,MATCH(D80,Listas!$B$5:$B$60,0))="","",C80+INDEX(Listas!$E$5:$E$60,MATCH(D80,Listas!$B$5:$B$60,0))),"")))</f>
        <v/>
      </c>
      <c r="O80" s="87"/>
      <c r="P80" s="90"/>
      <c r="Q80" s="96"/>
      <c r="R80" s="89"/>
      <c r="S80" s="94" t="str">
        <f aca="false">IF(OR(C80="",O80="",K80="✖️ Anulado"),"",O80-C80)</f>
        <v/>
      </c>
      <c r="T80" s="87"/>
      <c r="U80" s="92" t="str">
        <f aca="false">IF(OR(O80="",K80="✖️ Anulado",AND(T80&lt;&gt;"",T80&lt;&gt;"No")),"",N(H80)*IF(P80="",N(G80),N(P80)))</f>
        <v/>
      </c>
      <c r="V80" s="96"/>
      <c r="W80" s="89"/>
    </row>
    <row r="81" customFormat="false" ht="21" hidden="false" customHeight="true" outlineLevel="0" collapsed="false">
      <c r="A81" s="74" t="n">
        <v>77</v>
      </c>
      <c r="B81" s="86"/>
      <c r="C81" s="87"/>
      <c r="D81" s="88"/>
      <c r="E81" s="89"/>
      <c r="F81" s="89"/>
      <c r="G81" s="90"/>
      <c r="H81" s="91"/>
      <c r="I81" s="92" t="str">
        <f aca="false">IF(OR(G81="",H81=""),"",G81*H81)</f>
        <v/>
      </c>
      <c r="J81" s="89"/>
      <c r="K81" s="93" t="str">
        <f aca="true">IF(AND(F81="",D81=""),"",IF(V81="Sí","✖️ Anulado",IF(O81&lt;&gt;"",IF(OR(Q81="Con incidencia",R81&lt;&gt;""),"⚠️ Llegó con incidencia",IF(AND(P81&lt;&gt;"",N(P81)&lt;N(G81)),"🧩 Llegó incompleto","✅ Recibido")),IF(C81="","🛒 Por pedir",IF(AND(N81&lt;&gt;"",TODAY()&gt;N(N81)),"🐢 Retrasado","📦 Pedido (esperando)")))))</f>
        <v/>
      </c>
      <c r="L81" s="94" t="str">
        <f aca="true">IF(OR(N81="",C81="",K81="",K81="✖️ Anulado"),"",IF(O81&lt;&gt;"",MAX(0,O81-N81),IF(TODAY()&gt;N81,TODAY()-N81,"")))</f>
        <v/>
      </c>
      <c r="M81" s="87"/>
      <c r="N81" s="95" t="str">
        <f aca="false">IF(M81&lt;&gt;"",M81,IF(OR(C81="",D81=""),"",IFERROR(IF(INDEX(Listas!$E$5:$E$60,MATCH(D81,Listas!$B$5:$B$60,0))="","",C81+INDEX(Listas!$E$5:$E$60,MATCH(D81,Listas!$B$5:$B$60,0))),"")))</f>
        <v/>
      </c>
      <c r="O81" s="87"/>
      <c r="P81" s="90"/>
      <c r="Q81" s="96"/>
      <c r="R81" s="89"/>
      <c r="S81" s="94" t="str">
        <f aca="false">IF(OR(C81="",O81="",K81="✖️ Anulado"),"",O81-C81)</f>
        <v/>
      </c>
      <c r="T81" s="87"/>
      <c r="U81" s="92" t="str">
        <f aca="false">IF(OR(O81="",K81="✖️ Anulado",AND(T81&lt;&gt;"",T81&lt;&gt;"No")),"",N(H81)*IF(P81="",N(G81),N(P81)))</f>
        <v/>
      </c>
      <c r="V81" s="96"/>
      <c r="W81" s="89"/>
    </row>
    <row r="82" customFormat="false" ht="21" hidden="false" customHeight="true" outlineLevel="0" collapsed="false">
      <c r="A82" s="74" t="n">
        <v>78</v>
      </c>
      <c r="B82" s="86"/>
      <c r="C82" s="87"/>
      <c r="D82" s="88"/>
      <c r="E82" s="89"/>
      <c r="F82" s="89"/>
      <c r="G82" s="90"/>
      <c r="H82" s="91"/>
      <c r="I82" s="92" t="str">
        <f aca="false">IF(OR(G82="",H82=""),"",G82*H82)</f>
        <v/>
      </c>
      <c r="J82" s="89"/>
      <c r="K82" s="93" t="str">
        <f aca="true">IF(AND(F82="",D82=""),"",IF(V82="Sí","✖️ Anulado",IF(O82&lt;&gt;"",IF(OR(Q82="Con incidencia",R82&lt;&gt;""),"⚠️ Llegó con incidencia",IF(AND(P82&lt;&gt;"",N(P82)&lt;N(G82)),"🧩 Llegó incompleto","✅ Recibido")),IF(C82="","🛒 Por pedir",IF(AND(N82&lt;&gt;"",TODAY()&gt;N(N82)),"🐢 Retrasado","📦 Pedido (esperando)")))))</f>
        <v/>
      </c>
      <c r="L82" s="94" t="str">
        <f aca="true">IF(OR(N82="",C82="",K82="",K82="✖️ Anulado"),"",IF(O82&lt;&gt;"",MAX(0,O82-N82),IF(TODAY()&gt;N82,TODAY()-N82,"")))</f>
        <v/>
      </c>
      <c r="M82" s="87"/>
      <c r="N82" s="95" t="str">
        <f aca="false">IF(M82&lt;&gt;"",M82,IF(OR(C82="",D82=""),"",IFERROR(IF(INDEX(Listas!$E$5:$E$60,MATCH(D82,Listas!$B$5:$B$60,0))="","",C82+INDEX(Listas!$E$5:$E$60,MATCH(D82,Listas!$B$5:$B$60,0))),"")))</f>
        <v/>
      </c>
      <c r="O82" s="87"/>
      <c r="P82" s="90"/>
      <c r="Q82" s="96"/>
      <c r="R82" s="89"/>
      <c r="S82" s="94" t="str">
        <f aca="false">IF(OR(C82="",O82="",K82="✖️ Anulado"),"",O82-C82)</f>
        <v/>
      </c>
      <c r="T82" s="87"/>
      <c r="U82" s="92" t="str">
        <f aca="false">IF(OR(O82="",K82="✖️ Anulado",AND(T82&lt;&gt;"",T82&lt;&gt;"No")),"",N(H82)*IF(P82="",N(G82),N(P82)))</f>
        <v/>
      </c>
      <c r="V82" s="96"/>
      <c r="W82" s="89"/>
    </row>
    <row r="83" customFormat="false" ht="21" hidden="false" customHeight="true" outlineLevel="0" collapsed="false">
      <c r="A83" s="74" t="n">
        <v>79</v>
      </c>
      <c r="B83" s="86"/>
      <c r="C83" s="87"/>
      <c r="D83" s="88"/>
      <c r="E83" s="89"/>
      <c r="F83" s="89"/>
      <c r="G83" s="90"/>
      <c r="H83" s="91"/>
      <c r="I83" s="92" t="str">
        <f aca="false">IF(OR(G83="",H83=""),"",G83*H83)</f>
        <v/>
      </c>
      <c r="J83" s="89"/>
      <c r="K83" s="93" t="str">
        <f aca="true">IF(AND(F83="",D83=""),"",IF(V83="Sí","✖️ Anulado",IF(O83&lt;&gt;"",IF(OR(Q83="Con incidencia",R83&lt;&gt;""),"⚠️ Llegó con incidencia",IF(AND(P83&lt;&gt;"",N(P83)&lt;N(G83)),"🧩 Llegó incompleto","✅ Recibido")),IF(C83="","🛒 Por pedir",IF(AND(N83&lt;&gt;"",TODAY()&gt;N(N83)),"🐢 Retrasado","📦 Pedido (esperando)")))))</f>
        <v/>
      </c>
      <c r="L83" s="94" t="str">
        <f aca="true">IF(OR(N83="",C83="",K83="",K83="✖️ Anulado"),"",IF(O83&lt;&gt;"",MAX(0,O83-N83),IF(TODAY()&gt;N83,TODAY()-N83,"")))</f>
        <v/>
      </c>
      <c r="M83" s="87"/>
      <c r="N83" s="95" t="str">
        <f aca="false">IF(M83&lt;&gt;"",M83,IF(OR(C83="",D83=""),"",IFERROR(IF(INDEX(Listas!$E$5:$E$60,MATCH(D83,Listas!$B$5:$B$60,0))="","",C83+INDEX(Listas!$E$5:$E$60,MATCH(D83,Listas!$B$5:$B$60,0))),"")))</f>
        <v/>
      </c>
      <c r="O83" s="87"/>
      <c r="P83" s="90"/>
      <c r="Q83" s="96"/>
      <c r="R83" s="89"/>
      <c r="S83" s="94" t="str">
        <f aca="false">IF(OR(C83="",O83="",K83="✖️ Anulado"),"",O83-C83)</f>
        <v/>
      </c>
      <c r="T83" s="87"/>
      <c r="U83" s="92" t="str">
        <f aca="false">IF(OR(O83="",K83="✖️ Anulado",AND(T83&lt;&gt;"",T83&lt;&gt;"No")),"",N(H83)*IF(P83="",N(G83),N(P83)))</f>
        <v/>
      </c>
      <c r="V83" s="96"/>
      <c r="W83" s="89"/>
    </row>
    <row r="84" customFormat="false" ht="21" hidden="false" customHeight="true" outlineLevel="0" collapsed="false">
      <c r="A84" s="74" t="n">
        <v>80</v>
      </c>
      <c r="B84" s="86"/>
      <c r="C84" s="87"/>
      <c r="D84" s="88"/>
      <c r="E84" s="89"/>
      <c r="F84" s="89"/>
      <c r="G84" s="90"/>
      <c r="H84" s="91"/>
      <c r="I84" s="92" t="str">
        <f aca="false">IF(OR(G84="",H84=""),"",G84*H84)</f>
        <v/>
      </c>
      <c r="J84" s="89"/>
      <c r="K84" s="93" t="str">
        <f aca="true">IF(AND(F84="",D84=""),"",IF(V84="Sí","✖️ Anulado",IF(O84&lt;&gt;"",IF(OR(Q84="Con incidencia",R84&lt;&gt;""),"⚠️ Llegó con incidencia",IF(AND(P84&lt;&gt;"",N(P84)&lt;N(G84)),"🧩 Llegó incompleto","✅ Recibido")),IF(C84="","🛒 Por pedir",IF(AND(N84&lt;&gt;"",TODAY()&gt;N(N84)),"🐢 Retrasado","📦 Pedido (esperando)")))))</f>
        <v/>
      </c>
      <c r="L84" s="94" t="str">
        <f aca="true">IF(OR(N84="",C84="",K84="",K84="✖️ Anulado"),"",IF(O84&lt;&gt;"",MAX(0,O84-N84),IF(TODAY()&gt;N84,TODAY()-N84,"")))</f>
        <v/>
      </c>
      <c r="M84" s="87"/>
      <c r="N84" s="95" t="str">
        <f aca="false">IF(M84&lt;&gt;"",M84,IF(OR(C84="",D84=""),"",IFERROR(IF(INDEX(Listas!$E$5:$E$60,MATCH(D84,Listas!$B$5:$B$60,0))="","",C84+INDEX(Listas!$E$5:$E$60,MATCH(D84,Listas!$B$5:$B$60,0))),"")))</f>
        <v/>
      </c>
      <c r="O84" s="87"/>
      <c r="P84" s="90"/>
      <c r="Q84" s="96"/>
      <c r="R84" s="89"/>
      <c r="S84" s="94" t="str">
        <f aca="false">IF(OR(C84="",O84="",K84="✖️ Anulado"),"",O84-C84)</f>
        <v/>
      </c>
      <c r="T84" s="87"/>
      <c r="U84" s="92" t="str">
        <f aca="false">IF(OR(O84="",K84="✖️ Anulado",AND(T84&lt;&gt;"",T84&lt;&gt;"No")),"",N(H84)*IF(P84="",N(G84),N(P84)))</f>
        <v/>
      </c>
      <c r="V84" s="96"/>
      <c r="W84" s="89"/>
    </row>
    <row r="85" customFormat="false" ht="21" hidden="false" customHeight="true" outlineLevel="0" collapsed="false">
      <c r="A85" s="74" t="n">
        <v>81</v>
      </c>
      <c r="B85" s="86"/>
      <c r="C85" s="87"/>
      <c r="D85" s="88"/>
      <c r="E85" s="89"/>
      <c r="F85" s="89"/>
      <c r="G85" s="90"/>
      <c r="H85" s="91"/>
      <c r="I85" s="92" t="str">
        <f aca="false">IF(OR(G85="",H85=""),"",G85*H85)</f>
        <v/>
      </c>
      <c r="J85" s="89"/>
      <c r="K85" s="93" t="str">
        <f aca="true">IF(AND(F85="",D85=""),"",IF(V85="Sí","✖️ Anulado",IF(O85&lt;&gt;"",IF(OR(Q85="Con incidencia",R85&lt;&gt;""),"⚠️ Llegó con incidencia",IF(AND(P85&lt;&gt;"",N(P85)&lt;N(G85)),"🧩 Llegó incompleto","✅ Recibido")),IF(C85="","🛒 Por pedir",IF(AND(N85&lt;&gt;"",TODAY()&gt;N(N85)),"🐢 Retrasado","📦 Pedido (esperando)")))))</f>
        <v/>
      </c>
      <c r="L85" s="94" t="str">
        <f aca="true">IF(OR(N85="",C85="",K85="",K85="✖️ Anulado"),"",IF(O85&lt;&gt;"",MAX(0,O85-N85),IF(TODAY()&gt;N85,TODAY()-N85,"")))</f>
        <v/>
      </c>
      <c r="M85" s="87"/>
      <c r="N85" s="95" t="str">
        <f aca="false">IF(M85&lt;&gt;"",M85,IF(OR(C85="",D85=""),"",IFERROR(IF(INDEX(Listas!$E$5:$E$60,MATCH(D85,Listas!$B$5:$B$60,0))="","",C85+INDEX(Listas!$E$5:$E$60,MATCH(D85,Listas!$B$5:$B$60,0))),"")))</f>
        <v/>
      </c>
      <c r="O85" s="87"/>
      <c r="P85" s="90"/>
      <c r="Q85" s="96"/>
      <c r="R85" s="89"/>
      <c r="S85" s="94" t="str">
        <f aca="false">IF(OR(C85="",O85="",K85="✖️ Anulado"),"",O85-C85)</f>
        <v/>
      </c>
      <c r="T85" s="87"/>
      <c r="U85" s="92" t="str">
        <f aca="false">IF(OR(O85="",K85="✖️ Anulado",AND(T85&lt;&gt;"",T85&lt;&gt;"No")),"",N(H85)*IF(P85="",N(G85),N(P85)))</f>
        <v/>
      </c>
      <c r="V85" s="96"/>
      <c r="W85" s="89"/>
    </row>
    <row r="86" customFormat="false" ht="21" hidden="false" customHeight="true" outlineLevel="0" collapsed="false">
      <c r="A86" s="74" t="n">
        <v>82</v>
      </c>
      <c r="B86" s="86"/>
      <c r="C86" s="87"/>
      <c r="D86" s="88"/>
      <c r="E86" s="89"/>
      <c r="F86" s="89"/>
      <c r="G86" s="90"/>
      <c r="H86" s="91"/>
      <c r="I86" s="92" t="str">
        <f aca="false">IF(OR(G86="",H86=""),"",G86*H86)</f>
        <v/>
      </c>
      <c r="J86" s="89"/>
      <c r="K86" s="93" t="str">
        <f aca="true">IF(AND(F86="",D86=""),"",IF(V86="Sí","✖️ Anulado",IF(O86&lt;&gt;"",IF(OR(Q86="Con incidencia",R86&lt;&gt;""),"⚠️ Llegó con incidencia",IF(AND(P86&lt;&gt;"",N(P86)&lt;N(G86)),"🧩 Llegó incompleto","✅ Recibido")),IF(C86="","🛒 Por pedir",IF(AND(N86&lt;&gt;"",TODAY()&gt;N(N86)),"🐢 Retrasado","📦 Pedido (esperando)")))))</f>
        <v/>
      </c>
      <c r="L86" s="94" t="str">
        <f aca="true">IF(OR(N86="",C86="",K86="",K86="✖️ Anulado"),"",IF(O86&lt;&gt;"",MAX(0,O86-N86),IF(TODAY()&gt;N86,TODAY()-N86,"")))</f>
        <v/>
      </c>
      <c r="M86" s="87"/>
      <c r="N86" s="95" t="str">
        <f aca="false">IF(M86&lt;&gt;"",M86,IF(OR(C86="",D86=""),"",IFERROR(IF(INDEX(Listas!$E$5:$E$60,MATCH(D86,Listas!$B$5:$B$60,0))="","",C86+INDEX(Listas!$E$5:$E$60,MATCH(D86,Listas!$B$5:$B$60,0))),"")))</f>
        <v/>
      </c>
      <c r="O86" s="87"/>
      <c r="P86" s="90"/>
      <c r="Q86" s="96"/>
      <c r="R86" s="89"/>
      <c r="S86" s="94" t="str">
        <f aca="false">IF(OR(C86="",O86="",K86="✖️ Anulado"),"",O86-C86)</f>
        <v/>
      </c>
      <c r="T86" s="87"/>
      <c r="U86" s="92" t="str">
        <f aca="false">IF(OR(O86="",K86="✖️ Anulado",AND(T86&lt;&gt;"",T86&lt;&gt;"No")),"",N(H86)*IF(P86="",N(G86),N(P86)))</f>
        <v/>
      </c>
      <c r="V86" s="96"/>
      <c r="W86" s="89"/>
    </row>
    <row r="87" customFormat="false" ht="21" hidden="false" customHeight="true" outlineLevel="0" collapsed="false">
      <c r="A87" s="74" t="n">
        <v>83</v>
      </c>
      <c r="B87" s="86"/>
      <c r="C87" s="87"/>
      <c r="D87" s="88"/>
      <c r="E87" s="89"/>
      <c r="F87" s="89"/>
      <c r="G87" s="90"/>
      <c r="H87" s="91"/>
      <c r="I87" s="92" t="str">
        <f aca="false">IF(OR(G87="",H87=""),"",G87*H87)</f>
        <v/>
      </c>
      <c r="J87" s="89"/>
      <c r="K87" s="93" t="str">
        <f aca="true">IF(AND(F87="",D87=""),"",IF(V87="Sí","✖️ Anulado",IF(O87&lt;&gt;"",IF(OR(Q87="Con incidencia",R87&lt;&gt;""),"⚠️ Llegó con incidencia",IF(AND(P87&lt;&gt;"",N(P87)&lt;N(G87)),"🧩 Llegó incompleto","✅ Recibido")),IF(C87="","🛒 Por pedir",IF(AND(N87&lt;&gt;"",TODAY()&gt;N(N87)),"🐢 Retrasado","📦 Pedido (esperando)")))))</f>
        <v/>
      </c>
      <c r="L87" s="94" t="str">
        <f aca="true">IF(OR(N87="",C87="",K87="",K87="✖️ Anulado"),"",IF(O87&lt;&gt;"",MAX(0,O87-N87),IF(TODAY()&gt;N87,TODAY()-N87,"")))</f>
        <v/>
      </c>
      <c r="M87" s="87"/>
      <c r="N87" s="95" t="str">
        <f aca="false">IF(M87&lt;&gt;"",M87,IF(OR(C87="",D87=""),"",IFERROR(IF(INDEX(Listas!$E$5:$E$60,MATCH(D87,Listas!$B$5:$B$60,0))="","",C87+INDEX(Listas!$E$5:$E$60,MATCH(D87,Listas!$B$5:$B$60,0))),"")))</f>
        <v/>
      </c>
      <c r="O87" s="87"/>
      <c r="P87" s="90"/>
      <c r="Q87" s="96"/>
      <c r="R87" s="89"/>
      <c r="S87" s="94" t="str">
        <f aca="false">IF(OR(C87="",O87="",K87="✖️ Anulado"),"",O87-C87)</f>
        <v/>
      </c>
      <c r="T87" s="87"/>
      <c r="U87" s="92" t="str">
        <f aca="false">IF(OR(O87="",K87="✖️ Anulado",AND(T87&lt;&gt;"",T87&lt;&gt;"No")),"",N(H87)*IF(P87="",N(G87),N(P87)))</f>
        <v/>
      </c>
      <c r="V87" s="96"/>
      <c r="W87" s="89"/>
    </row>
    <row r="88" customFormat="false" ht="21" hidden="false" customHeight="true" outlineLevel="0" collapsed="false">
      <c r="A88" s="74" t="n">
        <v>84</v>
      </c>
      <c r="B88" s="86"/>
      <c r="C88" s="87"/>
      <c r="D88" s="88"/>
      <c r="E88" s="89"/>
      <c r="F88" s="89"/>
      <c r="G88" s="90"/>
      <c r="H88" s="91"/>
      <c r="I88" s="92" t="str">
        <f aca="false">IF(OR(G88="",H88=""),"",G88*H88)</f>
        <v/>
      </c>
      <c r="J88" s="89"/>
      <c r="K88" s="93" t="str">
        <f aca="true">IF(AND(F88="",D88=""),"",IF(V88="Sí","✖️ Anulado",IF(O88&lt;&gt;"",IF(OR(Q88="Con incidencia",R88&lt;&gt;""),"⚠️ Llegó con incidencia",IF(AND(P88&lt;&gt;"",N(P88)&lt;N(G88)),"🧩 Llegó incompleto","✅ Recibido")),IF(C88="","🛒 Por pedir",IF(AND(N88&lt;&gt;"",TODAY()&gt;N(N88)),"🐢 Retrasado","📦 Pedido (esperando)")))))</f>
        <v/>
      </c>
      <c r="L88" s="94" t="str">
        <f aca="true">IF(OR(N88="",C88="",K88="",K88="✖️ Anulado"),"",IF(O88&lt;&gt;"",MAX(0,O88-N88),IF(TODAY()&gt;N88,TODAY()-N88,"")))</f>
        <v/>
      </c>
      <c r="M88" s="87"/>
      <c r="N88" s="95" t="str">
        <f aca="false">IF(M88&lt;&gt;"",M88,IF(OR(C88="",D88=""),"",IFERROR(IF(INDEX(Listas!$E$5:$E$60,MATCH(D88,Listas!$B$5:$B$60,0))="","",C88+INDEX(Listas!$E$5:$E$60,MATCH(D88,Listas!$B$5:$B$60,0))),"")))</f>
        <v/>
      </c>
      <c r="O88" s="87"/>
      <c r="P88" s="90"/>
      <c r="Q88" s="96"/>
      <c r="R88" s="89"/>
      <c r="S88" s="94" t="str">
        <f aca="false">IF(OR(C88="",O88="",K88="✖️ Anulado"),"",O88-C88)</f>
        <v/>
      </c>
      <c r="T88" s="87"/>
      <c r="U88" s="92" t="str">
        <f aca="false">IF(OR(O88="",K88="✖️ Anulado",AND(T88&lt;&gt;"",T88&lt;&gt;"No")),"",N(H88)*IF(P88="",N(G88),N(P88)))</f>
        <v/>
      </c>
      <c r="V88" s="96"/>
      <c r="W88" s="89"/>
    </row>
    <row r="89" customFormat="false" ht="21" hidden="false" customHeight="true" outlineLevel="0" collapsed="false">
      <c r="A89" s="74" t="n">
        <v>85</v>
      </c>
      <c r="B89" s="86"/>
      <c r="C89" s="87"/>
      <c r="D89" s="88"/>
      <c r="E89" s="89"/>
      <c r="F89" s="89"/>
      <c r="G89" s="90"/>
      <c r="H89" s="91"/>
      <c r="I89" s="92" t="str">
        <f aca="false">IF(OR(G89="",H89=""),"",G89*H89)</f>
        <v/>
      </c>
      <c r="J89" s="89"/>
      <c r="K89" s="93" t="str">
        <f aca="true">IF(AND(F89="",D89=""),"",IF(V89="Sí","✖️ Anulado",IF(O89&lt;&gt;"",IF(OR(Q89="Con incidencia",R89&lt;&gt;""),"⚠️ Llegó con incidencia",IF(AND(P89&lt;&gt;"",N(P89)&lt;N(G89)),"🧩 Llegó incompleto","✅ Recibido")),IF(C89="","🛒 Por pedir",IF(AND(N89&lt;&gt;"",TODAY()&gt;N(N89)),"🐢 Retrasado","📦 Pedido (esperando)")))))</f>
        <v/>
      </c>
      <c r="L89" s="94" t="str">
        <f aca="true">IF(OR(N89="",C89="",K89="",K89="✖️ Anulado"),"",IF(O89&lt;&gt;"",MAX(0,O89-N89),IF(TODAY()&gt;N89,TODAY()-N89,"")))</f>
        <v/>
      </c>
      <c r="M89" s="87"/>
      <c r="N89" s="95" t="str">
        <f aca="false">IF(M89&lt;&gt;"",M89,IF(OR(C89="",D89=""),"",IFERROR(IF(INDEX(Listas!$E$5:$E$60,MATCH(D89,Listas!$B$5:$B$60,0))="","",C89+INDEX(Listas!$E$5:$E$60,MATCH(D89,Listas!$B$5:$B$60,0))),"")))</f>
        <v/>
      </c>
      <c r="O89" s="87"/>
      <c r="P89" s="90"/>
      <c r="Q89" s="96"/>
      <c r="R89" s="89"/>
      <c r="S89" s="94" t="str">
        <f aca="false">IF(OR(C89="",O89="",K89="✖️ Anulado"),"",O89-C89)</f>
        <v/>
      </c>
      <c r="T89" s="87"/>
      <c r="U89" s="92" t="str">
        <f aca="false">IF(OR(O89="",K89="✖️ Anulado",AND(T89&lt;&gt;"",T89&lt;&gt;"No")),"",N(H89)*IF(P89="",N(G89),N(P89)))</f>
        <v/>
      </c>
      <c r="V89" s="96"/>
      <c r="W89" s="89"/>
    </row>
    <row r="90" customFormat="false" ht="21" hidden="false" customHeight="true" outlineLevel="0" collapsed="false">
      <c r="A90" s="74" t="n">
        <v>86</v>
      </c>
      <c r="B90" s="86"/>
      <c r="C90" s="87"/>
      <c r="D90" s="88"/>
      <c r="E90" s="89"/>
      <c r="F90" s="89"/>
      <c r="G90" s="90"/>
      <c r="H90" s="91"/>
      <c r="I90" s="92" t="str">
        <f aca="false">IF(OR(G90="",H90=""),"",G90*H90)</f>
        <v/>
      </c>
      <c r="J90" s="89"/>
      <c r="K90" s="93" t="str">
        <f aca="true">IF(AND(F90="",D90=""),"",IF(V90="Sí","✖️ Anulado",IF(O90&lt;&gt;"",IF(OR(Q90="Con incidencia",R90&lt;&gt;""),"⚠️ Llegó con incidencia",IF(AND(P90&lt;&gt;"",N(P90)&lt;N(G90)),"🧩 Llegó incompleto","✅ Recibido")),IF(C90="","🛒 Por pedir",IF(AND(N90&lt;&gt;"",TODAY()&gt;N(N90)),"🐢 Retrasado","📦 Pedido (esperando)")))))</f>
        <v/>
      </c>
      <c r="L90" s="94" t="str">
        <f aca="true">IF(OR(N90="",C90="",K90="",K90="✖️ Anulado"),"",IF(O90&lt;&gt;"",MAX(0,O90-N90),IF(TODAY()&gt;N90,TODAY()-N90,"")))</f>
        <v/>
      </c>
      <c r="M90" s="87"/>
      <c r="N90" s="95" t="str">
        <f aca="false">IF(M90&lt;&gt;"",M90,IF(OR(C90="",D90=""),"",IFERROR(IF(INDEX(Listas!$E$5:$E$60,MATCH(D90,Listas!$B$5:$B$60,0))="","",C90+INDEX(Listas!$E$5:$E$60,MATCH(D90,Listas!$B$5:$B$60,0))),"")))</f>
        <v/>
      </c>
      <c r="O90" s="87"/>
      <c r="P90" s="90"/>
      <c r="Q90" s="96"/>
      <c r="R90" s="89"/>
      <c r="S90" s="94" t="str">
        <f aca="false">IF(OR(C90="",O90="",K90="✖️ Anulado"),"",O90-C90)</f>
        <v/>
      </c>
      <c r="T90" s="87"/>
      <c r="U90" s="92" t="str">
        <f aca="false">IF(OR(O90="",K90="✖️ Anulado",AND(T90&lt;&gt;"",T90&lt;&gt;"No")),"",N(H90)*IF(P90="",N(G90),N(P90)))</f>
        <v/>
      </c>
      <c r="V90" s="96"/>
      <c r="W90" s="89"/>
    </row>
    <row r="91" customFormat="false" ht="21" hidden="false" customHeight="true" outlineLevel="0" collapsed="false">
      <c r="A91" s="74" t="n">
        <v>87</v>
      </c>
      <c r="B91" s="86"/>
      <c r="C91" s="87"/>
      <c r="D91" s="88"/>
      <c r="E91" s="89"/>
      <c r="F91" s="89"/>
      <c r="G91" s="90"/>
      <c r="H91" s="91"/>
      <c r="I91" s="92" t="str">
        <f aca="false">IF(OR(G91="",H91=""),"",G91*H91)</f>
        <v/>
      </c>
      <c r="J91" s="89"/>
      <c r="K91" s="93" t="str">
        <f aca="true">IF(AND(F91="",D91=""),"",IF(V91="Sí","✖️ Anulado",IF(O91&lt;&gt;"",IF(OR(Q91="Con incidencia",R91&lt;&gt;""),"⚠️ Llegó con incidencia",IF(AND(P91&lt;&gt;"",N(P91)&lt;N(G91)),"🧩 Llegó incompleto","✅ Recibido")),IF(C91="","🛒 Por pedir",IF(AND(N91&lt;&gt;"",TODAY()&gt;N(N91)),"🐢 Retrasado","📦 Pedido (esperando)")))))</f>
        <v/>
      </c>
      <c r="L91" s="94" t="str">
        <f aca="true">IF(OR(N91="",C91="",K91="",K91="✖️ Anulado"),"",IF(O91&lt;&gt;"",MAX(0,O91-N91),IF(TODAY()&gt;N91,TODAY()-N91,"")))</f>
        <v/>
      </c>
      <c r="M91" s="87"/>
      <c r="N91" s="95" t="str">
        <f aca="false">IF(M91&lt;&gt;"",M91,IF(OR(C91="",D91=""),"",IFERROR(IF(INDEX(Listas!$E$5:$E$60,MATCH(D91,Listas!$B$5:$B$60,0))="","",C91+INDEX(Listas!$E$5:$E$60,MATCH(D91,Listas!$B$5:$B$60,0))),"")))</f>
        <v/>
      </c>
      <c r="O91" s="87"/>
      <c r="P91" s="90"/>
      <c r="Q91" s="96"/>
      <c r="R91" s="89"/>
      <c r="S91" s="94" t="str">
        <f aca="false">IF(OR(C91="",O91="",K91="✖️ Anulado"),"",O91-C91)</f>
        <v/>
      </c>
      <c r="T91" s="87"/>
      <c r="U91" s="92" t="str">
        <f aca="false">IF(OR(O91="",K91="✖️ Anulado",AND(T91&lt;&gt;"",T91&lt;&gt;"No")),"",N(H91)*IF(P91="",N(G91),N(P91)))</f>
        <v/>
      </c>
      <c r="V91" s="96"/>
      <c r="W91" s="89"/>
    </row>
    <row r="92" customFormat="false" ht="21" hidden="false" customHeight="true" outlineLevel="0" collapsed="false">
      <c r="A92" s="74" t="n">
        <v>88</v>
      </c>
      <c r="B92" s="86"/>
      <c r="C92" s="87"/>
      <c r="D92" s="88"/>
      <c r="E92" s="89"/>
      <c r="F92" s="89"/>
      <c r="G92" s="90"/>
      <c r="H92" s="91"/>
      <c r="I92" s="92" t="str">
        <f aca="false">IF(OR(G92="",H92=""),"",G92*H92)</f>
        <v/>
      </c>
      <c r="J92" s="89"/>
      <c r="K92" s="93" t="str">
        <f aca="true">IF(AND(F92="",D92=""),"",IF(V92="Sí","✖️ Anulado",IF(O92&lt;&gt;"",IF(OR(Q92="Con incidencia",R92&lt;&gt;""),"⚠️ Llegó con incidencia",IF(AND(P92&lt;&gt;"",N(P92)&lt;N(G92)),"🧩 Llegó incompleto","✅ Recibido")),IF(C92="","🛒 Por pedir",IF(AND(N92&lt;&gt;"",TODAY()&gt;N(N92)),"🐢 Retrasado","📦 Pedido (esperando)")))))</f>
        <v/>
      </c>
      <c r="L92" s="94" t="str">
        <f aca="true">IF(OR(N92="",C92="",K92="",K92="✖️ Anulado"),"",IF(O92&lt;&gt;"",MAX(0,O92-N92),IF(TODAY()&gt;N92,TODAY()-N92,"")))</f>
        <v/>
      </c>
      <c r="M92" s="87"/>
      <c r="N92" s="95" t="str">
        <f aca="false">IF(M92&lt;&gt;"",M92,IF(OR(C92="",D92=""),"",IFERROR(IF(INDEX(Listas!$E$5:$E$60,MATCH(D92,Listas!$B$5:$B$60,0))="","",C92+INDEX(Listas!$E$5:$E$60,MATCH(D92,Listas!$B$5:$B$60,0))),"")))</f>
        <v/>
      </c>
      <c r="O92" s="87"/>
      <c r="P92" s="90"/>
      <c r="Q92" s="96"/>
      <c r="R92" s="89"/>
      <c r="S92" s="94" t="str">
        <f aca="false">IF(OR(C92="",O92="",K92="✖️ Anulado"),"",O92-C92)</f>
        <v/>
      </c>
      <c r="T92" s="87"/>
      <c r="U92" s="92" t="str">
        <f aca="false">IF(OR(O92="",K92="✖️ Anulado",AND(T92&lt;&gt;"",T92&lt;&gt;"No")),"",N(H92)*IF(P92="",N(G92),N(P92)))</f>
        <v/>
      </c>
      <c r="V92" s="96"/>
      <c r="W92" s="89"/>
    </row>
    <row r="93" customFormat="false" ht="21" hidden="false" customHeight="true" outlineLevel="0" collapsed="false">
      <c r="A93" s="74" t="n">
        <v>89</v>
      </c>
      <c r="B93" s="86"/>
      <c r="C93" s="87"/>
      <c r="D93" s="88"/>
      <c r="E93" s="89"/>
      <c r="F93" s="89"/>
      <c r="G93" s="90"/>
      <c r="H93" s="91"/>
      <c r="I93" s="92" t="str">
        <f aca="false">IF(OR(G93="",H93=""),"",G93*H93)</f>
        <v/>
      </c>
      <c r="J93" s="89"/>
      <c r="K93" s="93" t="str">
        <f aca="true">IF(AND(F93="",D93=""),"",IF(V93="Sí","✖️ Anulado",IF(O93&lt;&gt;"",IF(OR(Q93="Con incidencia",R93&lt;&gt;""),"⚠️ Llegó con incidencia",IF(AND(P93&lt;&gt;"",N(P93)&lt;N(G93)),"🧩 Llegó incompleto","✅ Recibido")),IF(C93="","🛒 Por pedir",IF(AND(N93&lt;&gt;"",TODAY()&gt;N(N93)),"🐢 Retrasado","📦 Pedido (esperando)")))))</f>
        <v/>
      </c>
      <c r="L93" s="94" t="str">
        <f aca="true">IF(OR(N93="",C93="",K93="",K93="✖️ Anulado"),"",IF(O93&lt;&gt;"",MAX(0,O93-N93),IF(TODAY()&gt;N93,TODAY()-N93,"")))</f>
        <v/>
      </c>
      <c r="M93" s="87"/>
      <c r="N93" s="95" t="str">
        <f aca="false">IF(M93&lt;&gt;"",M93,IF(OR(C93="",D93=""),"",IFERROR(IF(INDEX(Listas!$E$5:$E$60,MATCH(D93,Listas!$B$5:$B$60,0))="","",C93+INDEX(Listas!$E$5:$E$60,MATCH(D93,Listas!$B$5:$B$60,0))),"")))</f>
        <v/>
      </c>
      <c r="O93" s="87"/>
      <c r="P93" s="90"/>
      <c r="Q93" s="96"/>
      <c r="R93" s="89"/>
      <c r="S93" s="94" t="str">
        <f aca="false">IF(OR(C93="",O93="",K93="✖️ Anulado"),"",O93-C93)</f>
        <v/>
      </c>
      <c r="T93" s="87"/>
      <c r="U93" s="92" t="str">
        <f aca="false">IF(OR(O93="",K93="✖️ Anulado",AND(T93&lt;&gt;"",T93&lt;&gt;"No")),"",N(H93)*IF(P93="",N(G93),N(P93)))</f>
        <v/>
      </c>
      <c r="V93" s="96"/>
      <c r="W93" s="89"/>
    </row>
    <row r="94" customFormat="false" ht="21" hidden="false" customHeight="true" outlineLevel="0" collapsed="false">
      <c r="A94" s="74" t="n">
        <v>90</v>
      </c>
      <c r="B94" s="86"/>
      <c r="C94" s="87"/>
      <c r="D94" s="88"/>
      <c r="E94" s="89"/>
      <c r="F94" s="89"/>
      <c r="G94" s="90"/>
      <c r="H94" s="91"/>
      <c r="I94" s="92" t="str">
        <f aca="false">IF(OR(G94="",H94=""),"",G94*H94)</f>
        <v/>
      </c>
      <c r="J94" s="89"/>
      <c r="K94" s="93" t="str">
        <f aca="true">IF(AND(F94="",D94=""),"",IF(V94="Sí","✖️ Anulado",IF(O94&lt;&gt;"",IF(OR(Q94="Con incidencia",R94&lt;&gt;""),"⚠️ Llegó con incidencia",IF(AND(P94&lt;&gt;"",N(P94)&lt;N(G94)),"🧩 Llegó incompleto","✅ Recibido")),IF(C94="","🛒 Por pedir",IF(AND(N94&lt;&gt;"",TODAY()&gt;N(N94)),"🐢 Retrasado","📦 Pedido (esperando)")))))</f>
        <v/>
      </c>
      <c r="L94" s="94" t="str">
        <f aca="true">IF(OR(N94="",C94="",K94="",K94="✖️ Anulado"),"",IF(O94&lt;&gt;"",MAX(0,O94-N94),IF(TODAY()&gt;N94,TODAY()-N94,"")))</f>
        <v/>
      </c>
      <c r="M94" s="87"/>
      <c r="N94" s="95" t="str">
        <f aca="false">IF(M94&lt;&gt;"",M94,IF(OR(C94="",D94=""),"",IFERROR(IF(INDEX(Listas!$E$5:$E$60,MATCH(D94,Listas!$B$5:$B$60,0))="","",C94+INDEX(Listas!$E$5:$E$60,MATCH(D94,Listas!$B$5:$B$60,0))),"")))</f>
        <v/>
      </c>
      <c r="O94" s="87"/>
      <c r="P94" s="90"/>
      <c r="Q94" s="96"/>
      <c r="R94" s="89"/>
      <c r="S94" s="94" t="str">
        <f aca="false">IF(OR(C94="",O94="",K94="✖️ Anulado"),"",O94-C94)</f>
        <v/>
      </c>
      <c r="T94" s="87"/>
      <c r="U94" s="92" t="str">
        <f aca="false">IF(OR(O94="",K94="✖️ Anulado",AND(T94&lt;&gt;"",T94&lt;&gt;"No")),"",N(H94)*IF(P94="",N(G94),N(P94)))</f>
        <v/>
      </c>
      <c r="V94" s="96"/>
      <c r="W94" s="89"/>
    </row>
    <row r="95" customFormat="false" ht="21" hidden="false" customHeight="true" outlineLevel="0" collapsed="false">
      <c r="A95" s="74" t="n">
        <v>91</v>
      </c>
      <c r="B95" s="86"/>
      <c r="C95" s="87"/>
      <c r="D95" s="88"/>
      <c r="E95" s="89"/>
      <c r="F95" s="89"/>
      <c r="G95" s="90"/>
      <c r="H95" s="91"/>
      <c r="I95" s="92" t="str">
        <f aca="false">IF(OR(G95="",H95=""),"",G95*H95)</f>
        <v/>
      </c>
      <c r="J95" s="89"/>
      <c r="K95" s="93" t="str">
        <f aca="true">IF(AND(F95="",D95=""),"",IF(V95="Sí","✖️ Anulado",IF(O95&lt;&gt;"",IF(OR(Q95="Con incidencia",R95&lt;&gt;""),"⚠️ Llegó con incidencia",IF(AND(P95&lt;&gt;"",N(P95)&lt;N(G95)),"🧩 Llegó incompleto","✅ Recibido")),IF(C95="","🛒 Por pedir",IF(AND(N95&lt;&gt;"",TODAY()&gt;N(N95)),"🐢 Retrasado","📦 Pedido (esperando)")))))</f>
        <v/>
      </c>
      <c r="L95" s="94" t="str">
        <f aca="true">IF(OR(N95="",C95="",K95="",K95="✖️ Anulado"),"",IF(O95&lt;&gt;"",MAX(0,O95-N95),IF(TODAY()&gt;N95,TODAY()-N95,"")))</f>
        <v/>
      </c>
      <c r="M95" s="87"/>
      <c r="N95" s="95" t="str">
        <f aca="false">IF(M95&lt;&gt;"",M95,IF(OR(C95="",D95=""),"",IFERROR(IF(INDEX(Listas!$E$5:$E$60,MATCH(D95,Listas!$B$5:$B$60,0))="","",C95+INDEX(Listas!$E$5:$E$60,MATCH(D95,Listas!$B$5:$B$60,0))),"")))</f>
        <v/>
      </c>
      <c r="O95" s="87"/>
      <c r="P95" s="90"/>
      <c r="Q95" s="96"/>
      <c r="R95" s="89"/>
      <c r="S95" s="94" t="str">
        <f aca="false">IF(OR(C95="",O95="",K95="✖️ Anulado"),"",O95-C95)</f>
        <v/>
      </c>
      <c r="T95" s="87"/>
      <c r="U95" s="92" t="str">
        <f aca="false">IF(OR(O95="",K95="✖️ Anulado",AND(T95&lt;&gt;"",T95&lt;&gt;"No")),"",N(H95)*IF(P95="",N(G95),N(P95)))</f>
        <v/>
      </c>
      <c r="V95" s="96"/>
      <c r="W95" s="89"/>
    </row>
    <row r="96" customFormat="false" ht="21" hidden="false" customHeight="true" outlineLevel="0" collapsed="false">
      <c r="A96" s="74" t="n">
        <v>92</v>
      </c>
      <c r="B96" s="86"/>
      <c r="C96" s="87"/>
      <c r="D96" s="88"/>
      <c r="E96" s="89"/>
      <c r="F96" s="89"/>
      <c r="G96" s="90"/>
      <c r="H96" s="91"/>
      <c r="I96" s="92" t="str">
        <f aca="false">IF(OR(G96="",H96=""),"",G96*H96)</f>
        <v/>
      </c>
      <c r="J96" s="89"/>
      <c r="K96" s="93" t="str">
        <f aca="true">IF(AND(F96="",D96=""),"",IF(V96="Sí","✖️ Anulado",IF(O96&lt;&gt;"",IF(OR(Q96="Con incidencia",R96&lt;&gt;""),"⚠️ Llegó con incidencia",IF(AND(P96&lt;&gt;"",N(P96)&lt;N(G96)),"🧩 Llegó incompleto","✅ Recibido")),IF(C96="","🛒 Por pedir",IF(AND(N96&lt;&gt;"",TODAY()&gt;N(N96)),"🐢 Retrasado","📦 Pedido (esperando)")))))</f>
        <v/>
      </c>
      <c r="L96" s="94" t="str">
        <f aca="true">IF(OR(N96="",C96="",K96="",K96="✖️ Anulado"),"",IF(O96&lt;&gt;"",MAX(0,O96-N96),IF(TODAY()&gt;N96,TODAY()-N96,"")))</f>
        <v/>
      </c>
      <c r="M96" s="87"/>
      <c r="N96" s="95" t="str">
        <f aca="false">IF(M96&lt;&gt;"",M96,IF(OR(C96="",D96=""),"",IFERROR(IF(INDEX(Listas!$E$5:$E$60,MATCH(D96,Listas!$B$5:$B$60,0))="","",C96+INDEX(Listas!$E$5:$E$60,MATCH(D96,Listas!$B$5:$B$60,0))),"")))</f>
        <v/>
      </c>
      <c r="O96" s="87"/>
      <c r="P96" s="90"/>
      <c r="Q96" s="96"/>
      <c r="R96" s="89"/>
      <c r="S96" s="94" t="str">
        <f aca="false">IF(OR(C96="",O96="",K96="✖️ Anulado"),"",O96-C96)</f>
        <v/>
      </c>
      <c r="T96" s="87"/>
      <c r="U96" s="92" t="str">
        <f aca="false">IF(OR(O96="",K96="✖️ Anulado",AND(T96&lt;&gt;"",T96&lt;&gt;"No")),"",N(H96)*IF(P96="",N(G96),N(P96)))</f>
        <v/>
      </c>
      <c r="V96" s="96"/>
      <c r="W96" s="89"/>
    </row>
    <row r="97" customFormat="false" ht="21" hidden="false" customHeight="true" outlineLevel="0" collapsed="false">
      <c r="A97" s="74" t="n">
        <v>93</v>
      </c>
      <c r="B97" s="86"/>
      <c r="C97" s="87"/>
      <c r="D97" s="88"/>
      <c r="E97" s="89"/>
      <c r="F97" s="89"/>
      <c r="G97" s="90"/>
      <c r="H97" s="91"/>
      <c r="I97" s="92" t="str">
        <f aca="false">IF(OR(G97="",H97=""),"",G97*H97)</f>
        <v/>
      </c>
      <c r="J97" s="89"/>
      <c r="K97" s="93" t="str">
        <f aca="true">IF(AND(F97="",D97=""),"",IF(V97="Sí","✖️ Anulado",IF(O97&lt;&gt;"",IF(OR(Q97="Con incidencia",R97&lt;&gt;""),"⚠️ Llegó con incidencia",IF(AND(P97&lt;&gt;"",N(P97)&lt;N(G97)),"🧩 Llegó incompleto","✅ Recibido")),IF(C97="","🛒 Por pedir",IF(AND(N97&lt;&gt;"",TODAY()&gt;N(N97)),"🐢 Retrasado","📦 Pedido (esperando)")))))</f>
        <v/>
      </c>
      <c r="L97" s="94" t="str">
        <f aca="true">IF(OR(N97="",C97="",K97="",K97="✖️ Anulado"),"",IF(O97&lt;&gt;"",MAX(0,O97-N97),IF(TODAY()&gt;N97,TODAY()-N97,"")))</f>
        <v/>
      </c>
      <c r="M97" s="87"/>
      <c r="N97" s="95" t="str">
        <f aca="false">IF(M97&lt;&gt;"",M97,IF(OR(C97="",D97=""),"",IFERROR(IF(INDEX(Listas!$E$5:$E$60,MATCH(D97,Listas!$B$5:$B$60,0))="","",C97+INDEX(Listas!$E$5:$E$60,MATCH(D97,Listas!$B$5:$B$60,0))),"")))</f>
        <v/>
      </c>
      <c r="O97" s="87"/>
      <c r="P97" s="90"/>
      <c r="Q97" s="96"/>
      <c r="R97" s="89"/>
      <c r="S97" s="94" t="str">
        <f aca="false">IF(OR(C97="",O97="",K97="✖️ Anulado"),"",O97-C97)</f>
        <v/>
      </c>
      <c r="T97" s="87"/>
      <c r="U97" s="92" t="str">
        <f aca="false">IF(OR(O97="",K97="✖️ Anulado",AND(T97&lt;&gt;"",T97&lt;&gt;"No")),"",N(H97)*IF(P97="",N(G97),N(P97)))</f>
        <v/>
      </c>
      <c r="V97" s="96"/>
      <c r="W97" s="89"/>
    </row>
    <row r="98" customFormat="false" ht="21" hidden="false" customHeight="true" outlineLevel="0" collapsed="false">
      <c r="A98" s="74" t="n">
        <v>94</v>
      </c>
      <c r="B98" s="86"/>
      <c r="C98" s="87"/>
      <c r="D98" s="88"/>
      <c r="E98" s="89"/>
      <c r="F98" s="89"/>
      <c r="G98" s="90"/>
      <c r="H98" s="91"/>
      <c r="I98" s="92" t="str">
        <f aca="false">IF(OR(G98="",H98=""),"",G98*H98)</f>
        <v/>
      </c>
      <c r="J98" s="89"/>
      <c r="K98" s="93" t="str">
        <f aca="true">IF(AND(F98="",D98=""),"",IF(V98="Sí","✖️ Anulado",IF(O98&lt;&gt;"",IF(OR(Q98="Con incidencia",R98&lt;&gt;""),"⚠️ Llegó con incidencia",IF(AND(P98&lt;&gt;"",N(P98)&lt;N(G98)),"🧩 Llegó incompleto","✅ Recibido")),IF(C98="","🛒 Por pedir",IF(AND(N98&lt;&gt;"",TODAY()&gt;N(N98)),"🐢 Retrasado","📦 Pedido (esperando)")))))</f>
        <v/>
      </c>
      <c r="L98" s="94" t="str">
        <f aca="true">IF(OR(N98="",C98="",K98="",K98="✖️ Anulado"),"",IF(O98&lt;&gt;"",MAX(0,O98-N98),IF(TODAY()&gt;N98,TODAY()-N98,"")))</f>
        <v/>
      </c>
      <c r="M98" s="87"/>
      <c r="N98" s="95" t="str">
        <f aca="false">IF(M98&lt;&gt;"",M98,IF(OR(C98="",D98=""),"",IFERROR(IF(INDEX(Listas!$E$5:$E$60,MATCH(D98,Listas!$B$5:$B$60,0))="","",C98+INDEX(Listas!$E$5:$E$60,MATCH(D98,Listas!$B$5:$B$60,0))),"")))</f>
        <v/>
      </c>
      <c r="O98" s="87"/>
      <c r="P98" s="90"/>
      <c r="Q98" s="96"/>
      <c r="R98" s="89"/>
      <c r="S98" s="94" t="str">
        <f aca="false">IF(OR(C98="",O98="",K98="✖️ Anulado"),"",O98-C98)</f>
        <v/>
      </c>
      <c r="T98" s="87"/>
      <c r="U98" s="92" t="str">
        <f aca="false">IF(OR(O98="",K98="✖️ Anulado",AND(T98&lt;&gt;"",T98&lt;&gt;"No")),"",N(H98)*IF(P98="",N(G98),N(P98)))</f>
        <v/>
      </c>
      <c r="V98" s="96"/>
      <c r="W98" s="89"/>
    </row>
    <row r="99" customFormat="false" ht="21" hidden="false" customHeight="true" outlineLevel="0" collapsed="false">
      <c r="A99" s="74" t="n">
        <v>95</v>
      </c>
      <c r="B99" s="86"/>
      <c r="C99" s="87"/>
      <c r="D99" s="88"/>
      <c r="E99" s="89"/>
      <c r="F99" s="89"/>
      <c r="G99" s="90"/>
      <c r="H99" s="91"/>
      <c r="I99" s="92" t="str">
        <f aca="false">IF(OR(G99="",H99=""),"",G99*H99)</f>
        <v/>
      </c>
      <c r="J99" s="89"/>
      <c r="K99" s="93" t="str">
        <f aca="true">IF(AND(F99="",D99=""),"",IF(V99="Sí","✖️ Anulado",IF(O99&lt;&gt;"",IF(OR(Q99="Con incidencia",R99&lt;&gt;""),"⚠️ Llegó con incidencia",IF(AND(P99&lt;&gt;"",N(P99)&lt;N(G99)),"🧩 Llegó incompleto","✅ Recibido")),IF(C99="","🛒 Por pedir",IF(AND(N99&lt;&gt;"",TODAY()&gt;N(N99)),"🐢 Retrasado","📦 Pedido (esperando)")))))</f>
        <v/>
      </c>
      <c r="L99" s="94" t="str">
        <f aca="true">IF(OR(N99="",C99="",K99="",K99="✖️ Anulado"),"",IF(O99&lt;&gt;"",MAX(0,O99-N99),IF(TODAY()&gt;N99,TODAY()-N99,"")))</f>
        <v/>
      </c>
      <c r="M99" s="87"/>
      <c r="N99" s="95" t="str">
        <f aca="false">IF(M99&lt;&gt;"",M99,IF(OR(C99="",D99=""),"",IFERROR(IF(INDEX(Listas!$E$5:$E$60,MATCH(D99,Listas!$B$5:$B$60,0))="","",C99+INDEX(Listas!$E$5:$E$60,MATCH(D99,Listas!$B$5:$B$60,0))),"")))</f>
        <v/>
      </c>
      <c r="O99" s="87"/>
      <c r="P99" s="90"/>
      <c r="Q99" s="96"/>
      <c r="R99" s="89"/>
      <c r="S99" s="94" t="str">
        <f aca="false">IF(OR(C99="",O99="",K99="✖️ Anulado"),"",O99-C99)</f>
        <v/>
      </c>
      <c r="T99" s="87"/>
      <c r="U99" s="92" t="str">
        <f aca="false">IF(OR(O99="",K99="✖️ Anulado",AND(T99&lt;&gt;"",T99&lt;&gt;"No")),"",N(H99)*IF(P99="",N(G99),N(P99)))</f>
        <v/>
      </c>
      <c r="V99" s="96"/>
      <c r="W99" s="89"/>
    </row>
    <row r="100" customFormat="false" ht="21" hidden="false" customHeight="true" outlineLevel="0" collapsed="false">
      <c r="A100" s="74" t="n">
        <v>96</v>
      </c>
      <c r="B100" s="86"/>
      <c r="C100" s="87"/>
      <c r="D100" s="88"/>
      <c r="E100" s="89"/>
      <c r="F100" s="89"/>
      <c r="G100" s="90"/>
      <c r="H100" s="91"/>
      <c r="I100" s="92" t="str">
        <f aca="false">IF(OR(G100="",H100=""),"",G100*H100)</f>
        <v/>
      </c>
      <c r="J100" s="89"/>
      <c r="K100" s="93" t="str">
        <f aca="true">IF(AND(F100="",D100=""),"",IF(V100="Sí","✖️ Anulado",IF(O100&lt;&gt;"",IF(OR(Q100="Con incidencia",R100&lt;&gt;""),"⚠️ Llegó con incidencia",IF(AND(P100&lt;&gt;"",N(P100)&lt;N(G100)),"🧩 Llegó incompleto","✅ Recibido")),IF(C100="","🛒 Por pedir",IF(AND(N100&lt;&gt;"",TODAY()&gt;N(N100)),"🐢 Retrasado","📦 Pedido (esperando)")))))</f>
        <v/>
      </c>
      <c r="L100" s="94" t="str">
        <f aca="true">IF(OR(N100="",C100="",K100="",K100="✖️ Anulado"),"",IF(O100&lt;&gt;"",MAX(0,O100-N100),IF(TODAY()&gt;N100,TODAY()-N100,"")))</f>
        <v/>
      </c>
      <c r="M100" s="87"/>
      <c r="N100" s="95" t="str">
        <f aca="false">IF(M100&lt;&gt;"",M100,IF(OR(C100="",D100=""),"",IFERROR(IF(INDEX(Listas!$E$5:$E$60,MATCH(D100,Listas!$B$5:$B$60,0))="","",C100+INDEX(Listas!$E$5:$E$60,MATCH(D100,Listas!$B$5:$B$60,0))),"")))</f>
        <v/>
      </c>
      <c r="O100" s="87"/>
      <c r="P100" s="90"/>
      <c r="Q100" s="96"/>
      <c r="R100" s="89"/>
      <c r="S100" s="94" t="str">
        <f aca="false">IF(OR(C100="",O100="",K100="✖️ Anulado"),"",O100-C100)</f>
        <v/>
      </c>
      <c r="T100" s="87"/>
      <c r="U100" s="92" t="str">
        <f aca="false">IF(OR(O100="",K100="✖️ Anulado",AND(T100&lt;&gt;"",T100&lt;&gt;"No")),"",N(H100)*IF(P100="",N(G100),N(P100)))</f>
        <v/>
      </c>
      <c r="V100" s="96"/>
      <c r="W100" s="89"/>
    </row>
    <row r="101" customFormat="false" ht="21" hidden="false" customHeight="true" outlineLevel="0" collapsed="false">
      <c r="A101" s="74" t="n">
        <v>97</v>
      </c>
      <c r="B101" s="86"/>
      <c r="C101" s="87"/>
      <c r="D101" s="88"/>
      <c r="E101" s="89"/>
      <c r="F101" s="89"/>
      <c r="G101" s="90"/>
      <c r="H101" s="91"/>
      <c r="I101" s="92" t="str">
        <f aca="false">IF(OR(G101="",H101=""),"",G101*H101)</f>
        <v/>
      </c>
      <c r="J101" s="89"/>
      <c r="K101" s="93" t="str">
        <f aca="true">IF(AND(F101="",D101=""),"",IF(V101="Sí","✖️ Anulado",IF(O101&lt;&gt;"",IF(OR(Q101="Con incidencia",R101&lt;&gt;""),"⚠️ Llegó con incidencia",IF(AND(P101&lt;&gt;"",N(P101)&lt;N(G101)),"🧩 Llegó incompleto","✅ Recibido")),IF(C101="","🛒 Por pedir",IF(AND(N101&lt;&gt;"",TODAY()&gt;N(N101)),"🐢 Retrasado","📦 Pedido (esperando)")))))</f>
        <v/>
      </c>
      <c r="L101" s="94" t="str">
        <f aca="true">IF(OR(N101="",C101="",K101="",K101="✖️ Anulado"),"",IF(O101&lt;&gt;"",MAX(0,O101-N101),IF(TODAY()&gt;N101,TODAY()-N101,"")))</f>
        <v/>
      </c>
      <c r="M101" s="87"/>
      <c r="N101" s="95" t="str">
        <f aca="false">IF(M101&lt;&gt;"",M101,IF(OR(C101="",D101=""),"",IFERROR(IF(INDEX(Listas!$E$5:$E$60,MATCH(D101,Listas!$B$5:$B$60,0))="","",C101+INDEX(Listas!$E$5:$E$60,MATCH(D101,Listas!$B$5:$B$60,0))),"")))</f>
        <v/>
      </c>
      <c r="O101" s="87"/>
      <c r="P101" s="90"/>
      <c r="Q101" s="96"/>
      <c r="R101" s="89"/>
      <c r="S101" s="94" t="str">
        <f aca="false">IF(OR(C101="",O101="",K101="✖️ Anulado"),"",O101-C101)</f>
        <v/>
      </c>
      <c r="T101" s="87"/>
      <c r="U101" s="92" t="str">
        <f aca="false">IF(OR(O101="",K101="✖️ Anulado",AND(T101&lt;&gt;"",T101&lt;&gt;"No")),"",N(H101)*IF(P101="",N(G101),N(P101)))</f>
        <v/>
      </c>
      <c r="V101" s="96"/>
      <c r="W101" s="89"/>
    </row>
    <row r="102" customFormat="false" ht="21" hidden="false" customHeight="true" outlineLevel="0" collapsed="false">
      <c r="A102" s="74" t="n">
        <v>98</v>
      </c>
      <c r="B102" s="86"/>
      <c r="C102" s="87"/>
      <c r="D102" s="88"/>
      <c r="E102" s="89"/>
      <c r="F102" s="89"/>
      <c r="G102" s="90"/>
      <c r="H102" s="91"/>
      <c r="I102" s="92" t="str">
        <f aca="false">IF(OR(G102="",H102=""),"",G102*H102)</f>
        <v/>
      </c>
      <c r="J102" s="89"/>
      <c r="K102" s="93" t="str">
        <f aca="true">IF(AND(F102="",D102=""),"",IF(V102="Sí","✖️ Anulado",IF(O102&lt;&gt;"",IF(OR(Q102="Con incidencia",R102&lt;&gt;""),"⚠️ Llegó con incidencia",IF(AND(P102&lt;&gt;"",N(P102)&lt;N(G102)),"🧩 Llegó incompleto","✅ Recibido")),IF(C102="","🛒 Por pedir",IF(AND(N102&lt;&gt;"",TODAY()&gt;N(N102)),"🐢 Retrasado","📦 Pedido (esperando)")))))</f>
        <v/>
      </c>
      <c r="L102" s="94" t="str">
        <f aca="true">IF(OR(N102="",C102="",K102="",K102="✖️ Anulado"),"",IF(O102&lt;&gt;"",MAX(0,O102-N102),IF(TODAY()&gt;N102,TODAY()-N102,"")))</f>
        <v/>
      </c>
      <c r="M102" s="87"/>
      <c r="N102" s="95" t="str">
        <f aca="false">IF(M102&lt;&gt;"",M102,IF(OR(C102="",D102=""),"",IFERROR(IF(INDEX(Listas!$E$5:$E$60,MATCH(D102,Listas!$B$5:$B$60,0))="","",C102+INDEX(Listas!$E$5:$E$60,MATCH(D102,Listas!$B$5:$B$60,0))),"")))</f>
        <v/>
      </c>
      <c r="O102" s="87"/>
      <c r="P102" s="90"/>
      <c r="Q102" s="96"/>
      <c r="R102" s="89"/>
      <c r="S102" s="94" t="str">
        <f aca="false">IF(OR(C102="",O102="",K102="✖️ Anulado"),"",O102-C102)</f>
        <v/>
      </c>
      <c r="T102" s="87"/>
      <c r="U102" s="92" t="str">
        <f aca="false">IF(OR(O102="",K102="✖️ Anulado",AND(T102&lt;&gt;"",T102&lt;&gt;"No")),"",N(H102)*IF(P102="",N(G102),N(P102)))</f>
        <v/>
      </c>
      <c r="V102" s="96"/>
      <c r="W102" s="89"/>
    </row>
    <row r="103" customFormat="false" ht="21" hidden="false" customHeight="true" outlineLevel="0" collapsed="false">
      <c r="A103" s="74" t="n">
        <v>99</v>
      </c>
      <c r="B103" s="86"/>
      <c r="C103" s="87"/>
      <c r="D103" s="88"/>
      <c r="E103" s="89"/>
      <c r="F103" s="89"/>
      <c r="G103" s="90"/>
      <c r="H103" s="91"/>
      <c r="I103" s="92" t="str">
        <f aca="false">IF(OR(G103="",H103=""),"",G103*H103)</f>
        <v/>
      </c>
      <c r="J103" s="89"/>
      <c r="K103" s="93" t="str">
        <f aca="true">IF(AND(F103="",D103=""),"",IF(V103="Sí","✖️ Anulado",IF(O103&lt;&gt;"",IF(OR(Q103="Con incidencia",R103&lt;&gt;""),"⚠️ Llegó con incidencia",IF(AND(P103&lt;&gt;"",N(P103)&lt;N(G103)),"🧩 Llegó incompleto","✅ Recibido")),IF(C103="","🛒 Por pedir",IF(AND(N103&lt;&gt;"",TODAY()&gt;N(N103)),"🐢 Retrasado","📦 Pedido (esperando)")))))</f>
        <v/>
      </c>
      <c r="L103" s="94" t="str">
        <f aca="true">IF(OR(N103="",C103="",K103="",K103="✖️ Anulado"),"",IF(O103&lt;&gt;"",MAX(0,O103-N103),IF(TODAY()&gt;N103,TODAY()-N103,"")))</f>
        <v/>
      </c>
      <c r="M103" s="87"/>
      <c r="N103" s="95" t="str">
        <f aca="false">IF(M103&lt;&gt;"",M103,IF(OR(C103="",D103=""),"",IFERROR(IF(INDEX(Listas!$E$5:$E$60,MATCH(D103,Listas!$B$5:$B$60,0))="","",C103+INDEX(Listas!$E$5:$E$60,MATCH(D103,Listas!$B$5:$B$60,0))),"")))</f>
        <v/>
      </c>
      <c r="O103" s="87"/>
      <c r="P103" s="90"/>
      <c r="Q103" s="96"/>
      <c r="R103" s="89"/>
      <c r="S103" s="94" t="str">
        <f aca="false">IF(OR(C103="",O103="",K103="✖️ Anulado"),"",O103-C103)</f>
        <v/>
      </c>
      <c r="T103" s="87"/>
      <c r="U103" s="92" t="str">
        <f aca="false">IF(OR(O103="",K103="✖️ Anulado",AND(T103&lt;&gt;"",T103&lt;&gt;"No")),"",N(H103)*IF(P103="",N(G103),N(P103)))</f>
        <v/>
      </c>
      <c r="V103" s="96"/>
      <c r="W103" s="89"/>
    </row>
    <row r="104" customFormat="false" ht="21" hidden="false" customHeight="true" outlineLevel="0" collapsed="false">
      <c r="A104" s="74" t="n">
        <v>100</v>
      </c>
      <c r="B104" s="86"/>
      <c r="C104" s="87"/>
      <c r="D104" s="88"/>
      <c r="E104" s="89"/>
      <c r="F104" s="89"/>
      <c r="G104" s="90"/>
      <c r="H104" s="91"/>
      <c r="I104" s="92" t="str">
        <f aca="false">IF(OR(G104="",H104=""),"",G104*H104)</f>
        <v/>
      </c>
      <c r="J104" s="89"/>
      <c r="K104" s="93" t="str">
        <f aca="true">IF(AND(F104="",D104=""),"",IF(V104="Sí","✖️ Anulado",IF(O104&lt;&gt;"",IF(OR(Q104="Con incidencia",R104&lt;&gt;""),"⚠️ Llegó con incidencia",IF(AND(P104&lt;&gt;"",N(P104)&lt;N(G104)),"🧩 Llegó incompleto","✅ Recibido")),IF(C104="","🛒 Por pedir",IF(AND(N104&lt;&gt;"",TODAY()&gt;N(N104)),"🐢 Retrasado","📦 Pedido (esperando)")))))</f>
        <v/>
      </c>
      <c r="L104" s="94" t="str">
        <f aca="true">IF(OR(N104="",C104="",K104="",K104="✖️ Anulado"),"",IF(O104&lt;&gt;"",MAX(0,O104-N104),IF(TODAY()&gt;N104,TODAY()-N104,"")))</f>
        <v/>
      </c>
      <c r="M104" s="87"/>
      <c r="N104" s="95" t="str">
        <f aca="false">IF(M104&lt;&gt;"",M104,IF(OR(C104="",D104=""),"",IFERROR(IF(INDEX(Listas!$E$5:$E$60,MATCH(D104,Listas!$B$5:$B$60,0))="","",C104+INDEX(Listas!$E$5:$E$60,MATCH(D104,Listas!$B$5:$B$60,0))),"")))</f>
        <v/>
      </c>
      <c r="O104" s="87"/>
      <c r="P104" s="90"/>
      <c r="Q104" s="96"/>
      <c r="R104" s="89"/>
      <c r="S104" s="94" t="str">
        <f aca="false">IF(OR(C104="",O104="",K104="✖️ Anulado"),"",O104-C104)</f>
        <v/>
      </c>
      <c r="T104" s="87"/>
      <c r="U104" s="92" t="str">
        <f aca="false">IF(OR(O104="",K104="✖️ Anulado",AND(T104&lt;&gt;"",T104&lt;&gt;"No")),"",N(H104)*IF(P104="",N(G104),N(P104)))</f>
        <v/>
      </c>
      <c r="V104" s="96"/>
      <c r="W104" s="89"/>
    </row>
    <row r="105" customFormat="false" ht="21" hidden="false" customHeight="true" outlineLevel="0" collapsed="false">
      <c r="A105" s="74" t="n">
        <v>101</v>
      </c>
      <c r="B105" s="86"/>
      <c r="C105" s="87"/>
      <c r="D105" s="88"/>
      <c r="E105" s="89"/>
      <c r="F105" s="89"/>
      <c r="G105" s="90"/>
      <c r="H105" s="91"/>
      <c r="I105" s="92" t="str">
        <f aca="false">IF(OR(G105="",H105=""),"",G105*H105)</f>
        <v/>
      </c>
      <c r="J105" s="89"/>
      <c r="K105" s="93" t="str">
        <f aca="true">IF(AND(F105="",D105=""),"",IF(V105="Sí","✖️ Anulado",IF(O105&lt;&gt;"",IF(OR(Q105="Con incidencia",R105&lt;&gt;""),"⚠️ Llegó con incidencia",IF(AND(P105&lt;&gt;"",N(P105)&lt;N(G105)),"🧩 Llegó incompleto","✅ Recibido")),IF(C105="","🛒 Por pedir",IF(AND(N105&lt;&gt;"",TODAY()&gt;N(N105)),"🐢 Retrasado","📦 Pedido (esperando)")))))</f>
        <v/>
      </c>
      <c r="L105" s="94" t="str">
        <f aca="true">IF(OR(N105="",C105="",K105="",K105="✖️ Anulado"),"",IF(O105&lt;&gt;"",MAX(0,O105-N105),IF(TODAY()&gt;N105,TODAY()-N105,"")))</f>
        <v/>
      </c>
      <c r="M105" s="87"/>
      <c r="N105" s="95" t="str">
        <f aca="false">IF(M105&lt;&gt;"",M105,IF(OR(C105="",D105=""),"",IFERROR(IF(INDEX(Listas!$E$5:$E$60,MATCH(D105,Listas!$B$5:$B$60,0))="","",C105+INDEX(Listas!$E$5:$E$60,MATCH(D105,Listas!$B$5:$B$60,0))),"")))</f>
        <v/>
      </c>
      <c r="O105" s="87"/>
      <c r="P105" s="90"/>
      <c r="Q105" s="96"/>
      <c r="R105" s="89"/>
      <c r="S105" s="94" t="str">
        <f aca="false">IF(OR(C105="",O105="",K105="✖️ Anulado"),"",O105-C105)</f>
        <v/>
      </c>
      <c r="T105" s="87"/>
      <c r="U105" s="92" t="str">
        <f aca="false">IF(OR(O105="",K105="✖️ Anulado",AND(T105&lt;&gt;"",T105&lt;&gt;"No")),"",N(H105)*IF(P105="",N(G105),N(P105)))</f>
        <v/>
      </c>
      <c r="V105" s="96"/>
      <c r="W105" s="89"/>
    </row>
    <row r="106" customFormat="false" ht="21" hidden="false" customHeight="true" outlineLevel="0" collapsed="false">
      <c r="A106" s="74" t="n">
        <v>102</v>
      </c>
      <c r="B106" s="86"/>
      <c r="C106" s="87"/>
      <c r="D106" s="88"/>
      <c r="E106" s="89"/>
      <c r="F106" s="89"/>
      <c r="G106" s="90"/>
      <c r="H106" s="91"/>
      <c r="I106" s="92" t="str">
        <f aca="false">IF(OR(G106="",H106=""),"",G106*H106)</f>
        <v/>
      </c>
      <c r="J106" s="89"/>
      <c r="K106" s="93" t="str">
        <f aca="true">IF(AND(F106="",D106=""),"",IF(V106="Sí","✖️ Anulado",IF(O106&lt;&gt;"",IF(OR(Q106="Con incidencia",R106&lt;&gt;""),"⚠️ Llegó con incidencia",IF(AND(P106&lt;&gt;"",N(P106)&lt;N(G106)),"🧩 Llegó incompleto","✅ Recibido")),IF(C106="","🛒 Por pedir",IF(AND(N106&lt;&gt;"",TODAY()&gt;N(N106)),"🐢 Retrasado","📦 Pedido (esperando)")))))</f>
        <v/>
      </c>
      <c r="L106" s="94" t="str">
        <f aca="true">IF(OR(N106="",C106="",K106="",K106="✖️ Anulado"),"",IF(O106&lt;&gt;"",MAX(0,O106-N106),IF(TODAY()&gt;N106,TODAY()-N106,"")))</f>
        <v/>
      </c>
      <c r="M106" s="87"/>
      <c r="N106" s="95" t="str">
        <f aca="false">IF(M106&lt;&gt;"",M106,IF(OR(C106="",D106=""),"",IFERROR(IF(INDEX(Listas!$E$5:$E$60,MATCH(D106,Listas!$B$5:$B$60,0))="","",C106+INDEX(Listas!$E$5:$E$60,MATCH(D106,Listas!$B$5:$B$60,0))),"")))</f>
        <v/>
      </c>
      <c r="O106" s="87"/>
      <c r="P106" s="90"/>
      <c r="Q106" s="96"/>
      <c r="R106" s="89"/>
      <c r="S106" s="94" t="str">
        <f aca="false">IF(OR(C106="",O106="",K106="✖️ Anulado"),"",O106-C106)</f>
        <v/>
      </c>
      <c r="T106" s="87"/>
      <c r="U106" s="92" t="str">
        <f aca="false">IF(OR(O106="",K106="✖️ Anulado",AND(T106&lt;&gt;"",T106&lt;&gt;"No")),"",N(H106)*IF(P106="",N(G106),N(P106)))</f>
        <v/>
      </c>
      <c r="V106" s="96"/>
      <c r="W106" s="89"/>
    </row>
    <row r="107" customFormat="false" ht="21" hidden="false" customHeight="true" outlineLevel="0" collapsed="false">
      <c r="A107" s="74" t="n">
        <v>103</v>
      </c>
      <c r="B107" s="86"/>
      <c r="C107" s="87"/>
      <c r="D107" s="88"/>
      <c r="E107" s="89"/>
      <c r="F107" s="89"/>
      <c r="G107" s="90"/>
      <c r="H107" s="91"/>
      <c r="I107" s="92" t="str">
        <f aca="false">IF(OR(G107="",H107=""),"",G107*H107)</f>
        <v/>
      </c>
      <c r="J107" s="89"/>
      <c r="K107" s="93" t="str">
        <f aca="true">IF(AND(F107="",D107=""),"",IF(V107="Sí","✖️ Anulado",IF(O107&lt;&gt;"",IF(OR(Q107="Con incidencia",R107&lt;&gt;""),"⚠️ Llegó con incidencia",IF(AND(P107&lt;&gt;"",N(P107)&lt;N(G107)),"🧩 Llegó incompleto","✅ Recibido")),IF(C107="","🛒 Por pedir",IF(AND(N107&lt;&gt;"",TODAY()&gt;N(N107)),"🐢 Retrasado","📦 Pedido (esperando)")))))</f>
        <v/>
      </c>
      <c r="L107" s="94" t="str">
        <f aca="true">IF(OR(N107="",C107="",K107="",K107="✖️ Anulado"),"",IF(O107&lt;&gt;"",MAX(0,O107-N107),IF(TODAY()&gt;N107,TODAY()-N107,"")))</f>
        <v/>
      </c>
      <c r="M107" s="87"/>
      <c r="N107" s="95" t="str">
        <f aca="false">IF(M107&lt;&gt;"",M107,IF(OR(C107="",D107=""),"",IFERROR(IF(INDEX(Listas!$E$5:$E$60,MATCH(D107,Listas!$B$5:$B$60,0))="","",C107+INDEX(Listas!$E$5:$E$60,MATCH(D107,Listas!$B$5:$B$60,0))),"")))</f>
        <v/>
      </c>
      <c r="O107" s="87"/>
      <c r="P107" s="90"/>
      <c r="Q107" s="96"/>
      <c r="R107" s="89"/>
      <c r="S107" s="94" t="str">
        <f aca="false">IF(OR(C107="",O107="",K107="✖️ Anulado"),"",O107-C107)</f>
        <v/>
      </c>
      <c r="T107" s="87"/>
      <c r="U107" s="92" t="str">
        <f aca="false">IF(OR(O107="",K107="✖️ Anulado",AND(T107&lt;&gt;"",T107&lt;&gt;"No")),"",N(H107)*IF(P107="",N(G107),N(P107)))</f>
        <v/>
      </c>
      <c r="V107" s="96"/>
      <c r="W107" s="89"/>
    </row>
    <row r="108" customFormat="false" ht="21" hidden="false" customHeight="true" outlineLevel="0" collapsed="false">
      <c r="A108" s="74" t="n">
        <v>104</v>
      </c>
      <c r="B108" s="86"/>
      <c r="C108" s="87"/>
      <c r="D108" s="88"/>
      <c r="E108" s="89"/>
      <c r="F108" s="89"/>
      <c r="G108" s="90"/>
      <c r="H108" s="91"/>
      <c r="I108" s="92" t="str">
        <f aca="false">IF(OR(G108="",H108=""),"",G108*H108)</f>
        <v/>
      </c>
      <c r="J108" s="89"/>
      <c r="K108" s="93" t="str">
        <f aca="true">IF(AND(F108="",D108=""),"",IF(V108="Sí","✖️ Anulado",IF(O108&lt;&gt;"",IF(OR(Q108="Con incidencia",R108&lt;&gt;""),"⚠️ Llegó con incidencia",IF(AND(P108&lt;&gt;"",N(P108)&lt;N(G108)),"🧩 Llegó incompleto","✅ Recibido")),IF(C108="","🛒 Por pedir",IF(AND(N108&lt;&gt;"",TODAY()&gt;N(N108)),"🐢 Retrasado","📦 Pedido (esperando)")))))</f>
        <v/>
      </c>
      <c r="L108" s="94" t="str">
        <f aca="true">IF(OR(N108="",C108="",K108="",K108="✖️ Anulado"),"",IF(O108&lt;&gt;"",MAX(0,O108-N108),IF(TODAY()&gt;N108,TODAY()-N108,"")))</f>
        <v/>
      </c>
      <c r="M108" s="87"/>
      <c r="N108" s="95" t="str">
        <f aca="false">IF(M108&lt;&gt;"",M108,IF(OR(C108="",D108=""),"",IFERROR(IF(INDEX(Listas!$E$5:$E$60,MATCH(D108,Listas!$B$5:$B$60,0))="","",C108+INDEX(Listas!$E$5:$E$60,MATCH(D108,Listas!$B$5:$B$60,0))),"")))</f>
        <v/>
      </c>
      <c r="O108" s="87"/>
      <c r="P108" s="90"/>
      <c r="Q108" s="96"/>
      <c r="R108" s="89"/>
      <c r="S108" s="94" t="str">
        <f aca="false">IF(OR(C108="",O108="",K108="✖️ Anulado"),"",O108-C108)</f>
        <v/>
      </c>
      <c r="T108" s="87"/>
      <c r="U108" s="92" t="str">
        <f aca="false">IF(OR(O108="",K108="✖️ Anulado",AND(T108&lt;&gt;"",T108&lt;&gt;"No")),"",N(H108)*IF(P108="",N(G108),N(P108)))</f>
        <v/>
      </c>
      <c r="V108" s="96"/>
      <c r="W108" s="89"/>
    </row>
    <row r="109" customFormat="false" ht="21" hidden="false" customHeight="true" outlineLevel="0" collapsed="false">
      <c r="A109" s="74" t="n">
        <v>105</v>
      </c>
      <c r="B109" s="86"/>
      <c r="C109" s="87"/>
      <c r="D109" s="88"/>
      <c r="E109" s="89"/>
      <c r="F109" s="89"/>
      <c r="G109" s="90"/>
      <c r="H109" s="91"/>
      <c r="I109" s="92" t="str">
        <f aca="false">IF(OR(G109="",H109=""),"",G109*H109)</f>
        <v/>
      </c>
      <c r="J109" s="89"/>
      <c r="K109" s="93" t="str">
        <f aca="true">IF(AND(F109="",D109=""),"",IF(V109="Sí","✖️ Anulado",IF(O109&lt;&gt;"",IF(OR(Q109="Con incidencia",R109&lt;&gt;""),"⚠️ Llegó con incidencia",IF(AND(P109&lt;&gt;"",N(P109)&lt;N(G109)),"🧩 Llegó incompleto","✅ Recibido")),IF(C109="","🛒 Por pedir",IF(AND(N109&lt;&gt;"",TODAY()&gt;N(N109)),"🐢 Retrasado","📦 Pedido (esperando)")))))</f>
        <v/>
      </c>
      <c r="L109" s="94" t="str">
        <f aca="true">IF(OR(N109="",C109="",K109="",K109="✖️ Anulado"),"",IF(O109&lt;&gt;"",MAX(0,O109-N109),IF(TODAY()&gt;N109,TODAY()-N109,"")))</f>
        <v/>
      </c>
      <c r="M109" s="87"/>
      <c r="N109" s="95" t="str">
        <f aca="false">IF(M109&lt;&gt;"",M109,IF(OR(C109="",D109=""),"",IFERROR(IF(INDEX(Listas!$E$5:$E$60,MATCH(D109,Listas!$B$5:$B$60,0))="","",C109+INDEX(Listas!$E$5:$E$60,MATCH(D109,Listas!$B$5:$B$60,0))),"")))</f>
        <v/>
      </c>
      <c r="O109" s="87"/>
      <c r="P109" s="90"/>
      <c r="Q109" s="96"/>
      <c r="R109" s="89"/>
      <c r="S109" s="94" t="str">
        <f aca="false">IF(OR(C109="",O109="",K109="✖️ Anulado"),"",O109-C109)</f>
        <v/>
      </c>
      <c r="T109" s="87"/>
      <c r="U109" s="92" t="str">
        <f aca="false">IF(OR(O109="",K109="✖️ Anulado",AND(T109&lt;&gt;"",T109&lt;&gt;"No")),"",N(H109)*IF(P109="",N(G109),N(P109)))</f>
        <v/>
      </c>
      <c r="V109" s="96"/>
      <c r="W109" s="89"/>
    </row>
    <row r="110" customFormat="false" ht="21" hidden="false" customHeight="true" outlineLevel="0" collapsed="false">
      <c r="A110" s="74" t="n">
        <v>106</v>
      </c>
      <c r="B110" s="86"/>
      <c r="C110" s="87"/>
      <c r="D110" s="88"/>
      <c r="E110" s="89"/>
      <c r="F110" s="89"/>
      <c r="G110" s="90"/>
      <c r="H110" s="91"/>
      <c r="I110" s="92" t="str">
        <f aca="false">IF(OR(G110="",H110=""),"",G110*H110)</f>
        <v/>
      </c>
      <c r="J110" s="89"/>
      <c r="K110" s="93" t="str">
        <f aca="true">IF(AND(F110="",D110=""),"",IF(V110="Sí","✖️ Anulado",IF(O110&lt;&gt;"",IF(OR(Q110="Con incidencia",R110&lt;&gt;""),"⚠️ Llegó con incidencia",IF(AND(P110&lt;&gt;"",N(P110)&lt;N(G110)),"🧩 Llegó incompleto","✅ Recibido")),IF(C110="","🛒 Por pedir",IF(AND(N110&lt;&gt;"",TODAY()&gt;N(N110)),"🐢 Retrasado","📦 Pedido (esperando)")))))</f>
        <v/>
      </c>
      <c r="L110" s="94" t="str">
        <f aca="true">IF(OR(N110="",C110="",K110="",K110="✖️ Anulado"),"",IF(O110&lt;&gt;"",MAX(0,O110-N110),IF(TODAY()&gt;N110,TODAY()-N110,"")))</f>
        <v/>
      </c>
      <c r="M110" s="87"/>
      <c r="N110" s="95" t="str">
        <f aca="false">IF(M110&lt;&gt;"",M110,IF(OR(C110="",D110=""),"",IFERROR(IF(INDEX(Listas!$E$5:$E$60,MATCH(D110,Listas!$B$5:$B$60,0))="","",C110+INDEX(Listas!$E$5:$E$60,MATCH(D110,Listas!$B$5:$B$60,0))),"")))</f>
        <v/>
      </c>
      <c r="O110" s="87"/>
      <c r="P110" s="90"/>
      <c r="Q110" s="96"/>
      <c r="R110" s="89"/>
      <c r="S110" s="94" t="str">
        <f aca="false">IF(OR(C110="",O110="",K110="✖️ Anulado"),"",O110-C110)</f>
        <v/>
      </c>
      <c r="T110" s="87"/>
      <c r="U110" s="92" t="str">
        <f aca="false">IF(OR(O110="",K110="✖️ Anulado",AND(T110&lt;&gt;"",T110&lt;&gt;"No")),"",N(H110)*IF(P110="",N(G110),N(P110)))</f>
        <v/>
      </c>
      <c r="V110" s="96"/>
      <c r="W110" s="89"/>
    </row>
    <row r="111" customFormat="false" ht="21" hidden="false" customHeight="true" outlineLevel="0" collapsed="false">
      <c r="A111" s="74" t="n">
        <v>107</v>
      </c>
      <c r="B111" s="86"/>
      <c r="C111" s="87"/>
      <c r="D111" s="88"/>
      <c r="E111" s="89"/>
      <c r="F111" s="89"/>
      <c r="G111" s="90"/>
      <c r="H111" s="91"/>
      <c r="I111" s="92" t="str">
        <f aca="false">IF(OR(G111="",H111=""),"",G111*H111)</f>
        <v/>
      </c>
      <c r="J111" s="89"/>
      <c r="K111" s="93" t="str">
        <f aca="true">IF(AND(F111="",D111=""),"",IF(V111="Sí","✖️ Anulado",IF(O111&lt;&gt;"",IF(OR(Q111="Con incidencia",R111&lt;&gt;""),"⚠️ Llegó con incidencia",IF(AND(P111&lt;&gt;"",N(P111)&lt;N(G111)),"🧩 Llegó incompleto","✅ Recibido")),IF(C111="","🛒 Por pedir",IF(AND(N111&lt;&gt;"",TODAY()&gt;N(N111)),"🐢 Retrasado","📦 Pedido (esperando)")))))</f>
        <v/>
      </c>
      <c r="L111" s="94" t="str">
        <f aca="true">IF(OR(N111="",C111="",K111="",K111="✖️ Anulado"),"",IF(O111&lt;&gt;"",MAX(0,O111-N111),IF(TODAY()&gt;N111,TODAY()-N111,"")))</f>
        <v/>
      </c>
      <c r="M111" s="87"/>
      <c r="N111" s="95" t="str">
        <f aca="false">IF(M111&lt;&gt;"",M111,IF(OR(C111="",D111=""),"",IFERROR(IF(INDEX(Listas!$E$5:$E$60,MATCH(D111,Listas!$B$5:$B$60,0))="","",C111+INDEX(Listas!$E$5:$E$60,MATCH(D111,Listas!$B$5:$B$60,0))),"")))</f>
        <v/>
      </c>
      <c r="O111" s="87"/>
      <c r="P111" s="90"/>
      <c r="Q111" s="96"/>
      <c r="R111" s="89"/>
      <c r="S111" s="94" t="str">
        <f aca="false">IF(OR(C111="",O111="",K111="✖️ Anulado"),"",O111-C111)</f>
        <v/>
      </c>
      <c r="T111" s="87"/>
      <c r="U111" s="92" t="str">
        <f aca="false">IF(OR(O111="",K111="✖️ Anulado",AND(T111&lt;&gt;"",T111&lt;&gt;"No")),"",N(H111)*IF(P111="",N(G111),N(P111)))</f>
        <v/>
      </c>
      <c r="V111" s="96"/>
      <c r="W111" s="89"/>
    </row>
    <row r="112" customFormat="false" ht="21" hidden="false" customHeight="true" outlineLevel="0" collapsed="false">
      <c r="A112" s="74" t="n">
        <v>108</v>
      </c>
      <c r="B112" s="86"/>
      <c r="C112" s="87"/>
      <c r="D112" s="88"/>
      <c r="E112" s="89"/>
      <c r="F112" s="89"/>
      <c r="G112" s="90"/>
      <c r="H112" s="91"/>
      <c r="I112" s="92" t="str">
        <f aca="false">IF(OR(G112="",H112=""),"",G112*H112)</f>
        <v/>
      </c>
      <c r="J112" s="89"/>
      <c r="K112" s="93" t="str">
        <f aca="true">IF(AND(F112="",D112=""),"",IF(V112="Sí","✖️ Anulado",IF(O112&lt;&gt;"",IF(OR(Q112="Con incidencia",R112&lt;&gt;""),"⚠️ Llegó con incidencia",IF(AND(P112&lt;&gt;"",N(P112)&lt;N(G112)),"🧩 Llegó incompleto","✅ Recibido")),IF(C112="","🛒 Por pedir",IF(AND(N112&lt;&gt;"",TODAY()&gt;N(N112)),"🐢 Retrasado","📦 Pedido (esperando)")))))</f>
        <v/>
      </c>
      <c r="L112" s="94" t="str">
        <f aca="true">IF(OR(N112="",C112="",K112="",K112="✖️ Anulado"),"",IF(O112&lt;&gt;"",MAX(0,O112-N112),IF(TODAY()&gt;N112,TODAY()-N112,"")))</f>
        <v/>
      </c>
      <c r="M112" s="87"/>
      <c r="N112" s="95" t="str">
        <f aca="false">IF(M112&lt;&gt;"",M112,IF(OR(C112="",D112=""),"",IFERROR(IF(INDEX(Listas!$E$5:$E$60,MATCH(D112,Listas!$B$5:$B$60,0))="","",C112+INDEX(Listas!$E$5:$E$60,MATCH(D112,Listas!$B$5:$B$60,0))),"")))</f>
        <v/>
      </c>
      <c r="O112" s="87"/>
      <c r="P112" s="90"/>
      <c r="Q112" s="96"/>
      <c r="R112" s="89"/>
      <c r="S112" s="94" t="str">
        <f aca="false">IF(OR(C112="",O112="",K112="✖️ Anulado"),"",O112-C112)</f>
        <v/>
      </c>
      <c r="T112" s="87"/>
      <c r="U112" s="92" t="str">
        <f aca="false">IF(OR(O112="",K112="✖️ Anulado",AND(T112&lt;&gt;"",T112&lt;&gt;"No")),"",N(H112)*IF(P112="",N(G112),N(P112)))</f>
        <v/>
      </c>
      <c r="V112" s="96"/>
      <c r="W112" s="89"/>
    </row>
    <row r="113" customFormat="false" ht="21" hidden="false" customHeight="true" outlineLevel="0" collapsed="false">
      <c r="A113" s="74" t="n">
        <v>109</v>
      </c>
      <c r="B113" s="86"/>
      <c r="C113" s="87"/>
      <c r="D113" s="88"/>
      <c r="E113" s="89"/>
      <c r="F113" s="89"/>
      <c r="G113" s="90"/>
      <c r="H113" s="91"/>
      <c r="I113" s="92" t="str">
        <f aca="false">IF(OR(G113="",H113=""),"",G113*H113)</f>
        <v/>
      </c>
      <c r="J113" s="89"/>
      <c r="K113" s="93" t="str">
        <f aca="true">IF(AND(F113="",D113=""),"",IF(V113="Sí","✖️ Anulado",IF(O113&lt;&gt;"",IF(OR(Q113="Con incidencia",R113&lt;&gt;""),"⚠️ Llegó con incidencia",IF(AND(P113&lt;&gt;"",N(P113)&lt;N(G113)),"🧩 Llegó incompleto","✅ Recibido")),IF(C113="","🛒 Por pedir",IF(AND(N113&lt;&gt;"",TODAY()&gt;N(N113)),"🐢 Retrasado","📦 Pedido (esperando)")))))</f>
        <v/>
      </c>
      <c r="L113" s="94" t="str">
        <f aca="true">IF(OR(N113="",C113="",K113="",K113="✖️ Anulado"),"",IF(O113&lt;&gt;"",MAX(0,O113-N113),IF(TODAY()&gt;N113,TODAY()-N113,"")))</f>
        <v/>
      </c>
      <c r="M113" s="87"/>
      <c r="N113" s="95" t="str">
        <f aca="false">IF(M113&lt;&gt;"",M113,IF(OR(C113="",D113=""),"",IFERROR(IF(INDEX(Listas!$E$5:$E$60,MATCH(D113,Listas!$B$5:$B$60,0))="","",C113+INDEX(Listas!$E$5:$E$60,MATCH(D113,Listas!$B$5:$B$60,0))),"")))</f>
        <v/>
      </c>
      <c r="O113" s="87"/>
      <c r="P113" s="90"/>
      <c r="Q113" s="96"/>
      <c r="R113" s="89"/>
      <c r="S113" s="94" t="str">
        <f aca="false">IF(OR(C113="",O113="",K113="✖️ Anulado"),"",O113-C113)</f>
        <v/>
      </c>
      <c r="T113" s="87"/>
      <c r="U113" s="92" t="str">
        <f aca="false">IF(OR(O113="",K113="✖️ Anulado",AND(T113&lt;&gt;"",T113&lt;&gt;"No")),"",N(H113)*IF(P113="",N(G113),N(P113)))</f>
        <v/>
      </c>
      <c r="V113" s="96"/>
      <c r="W113" s="89"/>
    </row>
    <row r="114" customFormat="false" ht="21" hidden="false" customHeight="true" outlineLevel="0" collapsed="false">
      <c r="A114" s="74" t="n">
        <v>110</v>
      </c>
      <c r="B114" s="86"/>
      <c r="C114" s="87"/>
      <c r="D114" s="88"/>
      <c r="E114" s="89"/>
      <c r="F114" s="89"/>
      <c r="G114" s="90"/>
      <c r="H114" s="91"/>
      <c r="I114" s="92" t="str">
        <f aca="false">IF(OR(G114="",H114=""),"",G114*H114)</f>
        <v/>
      </c>
      <c r="J114" s="89"/>
      <c r="K114" s="93" t="str">
        <f aca="true">IF(AND(F114="",D114=""),"",IF(V114="Sí","✖️ Anulado",IF(O114&lt;&gt;"",IF(OR(Q114="Con incidencia",R114&lt;&gt;""),"⚠️ Llegó con incidencia",IF(AND(P114&lt;&gt;"",N(P114)&lt;N(G114)),"🧩 Llegó incompleto","✅ Recibido")),IF(C114="","🛒 Por pedir",IF(AND(N114&lt;&gt;"",TODAY()&gt;N(N114)),"🐢 Retrasado","📦 Pedido (esperando)")))))</f>
        <v/>
      </c>
      <c r="L114" s="94" t="str">
        <f aca="true">IF(OR(N114="",C114="",K114="",K114="✖️ Anulado"),"",IF(O114&lt;&gt;"",MAX(0,O114-N114),IF(TODAY()&gt;N114,TODAY()-N114,"")))</f>
        <v/>
      </c>
      <c r="M114" s="87"/>
      <c r="N114" s="95" t="str">
        <f aca="false">IF(M114&lt;&gt;"",M114,IF(OR(C114="",D114=""),"",IFERROR(IF(INDEX(Listas!$E$5:$E$60,MATCH(D114,Listas!$B$5:$B$60,0))="","",C114+INDEX(Listas!$E$5:$E$60,MATCH(D114,Listas!$B$5:$B$60,0))),"")))</f>
        <v/>
      </c>
      <c r="O114" s="87"/>
      <c r="P114" s="90"/>
      <c r="Q114" s="96"/>
      <c r="R114" s="89"/>
      <c r="S114" s="94" t="str">
        <f aca="false">IF(OR(C114="",O114="",K114="✖️ Anulado"),"",O114-C114)</f>
        <v/>
      </c>
      <c r="T114" s="87"/>
      <c r="U114" s="92" t="str">
        <f aca="false">IF(OR(O114="",K114="✖️ Anulado",AND(T114&lt;&gt;"",T114&lt;&gt;"No")),"",N(H114)*IF(P114="",N(G114),N(P114)))</f>
        <v/>
      </c>
      <c r="V114" s="96"/>
      <c r="W114" s="89"/>
    </row>
    <row r="115" customFormat="false" ht="21" hidden="false" customHeight="true" outlineLevel="0" collapsed="false">
      <c r="A115" s="74" t="n">
        <v>111</v>
      </c>
      <c r="B115" s="86"/>
      <c r="C115" s="87"/>
      <c r="D115" s="88"/>
      <c r="E115" s="89"/>
      <c r="F115" s="89"/>
      <c r="G115" s="90"/>
      <c r="H115" s="91"/>
      <c r="I115" s="92" t="str">
        <f aca="false">IF(OR(G115="",H115=""),"",G115*H115)</f>
        <v/>
      </c>
      <c r="J115" s="89"/>
      <c r="K115" s="93" t="str">
        <f aca="true">IF(AND(F115="",D115=""),"",IF(V115="Sí","✖️ Anulado",IF(O115&lt;&gt;"",IF(OR(Q115="Con incidencia",R115&lt;&gt;""),"⚠️ Llegó con incidencia",IF(AND(P115&lt;&gt;"",N(P115)&lt;N(G115)),"🧩 Llegó incompleto","✅ Recibido")),IF(C115="","🛒 Por pedir",IF(AND(N115&lt;&gt;"",TODAY()&gt;N(N115)),"🐢 Retrasado","📦 Pedido (esperando)")))))</f>
        <v/>
      </c>
      <c r="L115" s="94" t="str">
        <f aca="true">IF(OR(N115="",C115="",K115="",K115="✖️ Anulado"),"",IF(O115&lt;&gt;"",MAX(0,O115-N115),IF(TODAY()&gt;N115,TODAY()-N115,"")))</f>
        <v/>
      </c>
      <c r="M115" s="87"/>
      <c r="N115" s="95" t="str">
        <f aca="false">IF(M115&lt;&gt;"",M115,IF(OR(C115="",D115=""),"",IFERROR(IF(INDEX(Listas!$E$5:$E$60,MATCH(D115,Listas!$B$5:$B$60,0))="","",C115+INDEX(Listas!$E$5:$E$60,MATCH(D115,Listas!$B$5:$B$60,0))),"")))</f>
        <v/>
      </c>
      <c r="O115" s="87"/>
      <c r="P115" s="90"/>
      <c r="Q115" s="96"/>
      <c r="R115" s="89"/>
      <c r="S115" s="94" t="str">
        <f aca="false">IF(OR(C115="",O115="",K115="✖️ Anulado"),"",O115-C115)</f>
        <v/>
      </c>
      <c r="T115" s="87"/>
      <c r="U115" s="92" t="str">
        <f aca="false">IF(OR(O115="",K115="✖️ Anulado",AND(T115&lt;&gt;"",T115&lt;&gt;"No")),"",N(H115)*IF(P115="",N(G115),N(P115)))</f>
        <v/>
      </c>
      <c r="V115" s="96"/>
      <c r="W115" s="89"/>
    </row>
    <row r="116" customFormat="false" ht="21" hidden="false" customHeight="true" outlineLevel="0" collapsed="false">
      <c r="A116" s="74" t="n">
        <v>112</v>
      </c>
      <c r="B116" s="86"/>
      <c r="C116" s="87"/>
      <c r="D116" s="88"/>
      <c r="E116" s="89"/>
      <c r="F116" s="89"/>
      <c r="G116" s="90"/>
      <c r="H116" s="91"/>
      <c r="I116" s="92" t="str">
        <f aca="false">IF(OR(G116="",H116=""),"",G116*H116)</f>
        <v/>
      </c>
      <c r="J116" s="89"/>
      <c r="K116" s="93" t="str">
        <f aca="true">IF(AND(F116="",D116=""),"",IF(V116="Sí","✖️ Anulado",IF(O116&lt;&gt;"",IF(OR(Q116="Con incidencia",R116&lt;&gt;""),"⚠️ Llegó con incidencia",IF(AND(P116&lt;&gt;"",N(P116)&lt;N(G116)),"🧩 Llegó incompleto","✅ Recibido")),IF(C116="","🛒 Por pedir",IF(AND(N116&lt;&gt;"",TODAY()&gt;N(N116)),"🐢 Retrasado","📦 Pedido (esperando)")))))</f>
        <v/>
      </c>
      <c r="L116" s="94" t="str">
        <f aca="true">IF(OR(N116="",C116="",K116="",K116="✖️ Anulado"),"",IF(O116&lt;&gt;"",MAX(0,O116-N116),IF(TODAY()&gt;N116,TODAY()-N116,"")))</f>
        <v/>
      </c>
      <c r="M116" s="87"/>
      <c r="N116" s="95" t="str">
        <f aca="false">IF(M116&lt;&gt;"",M116,IF(OR(C116="",D116=""),"",IFERROR(IF(INDEX(Listas!$E$5:$E$60,MATCH(D116,Listas!$B$5:$B$60,0))="","",C116+INDEX(Listas!$E$5:$E$60,MATCH(D116,Listas!$B$5:$B$60,0))),"")))</f>
        <v/>
      </c>
      <c r="O116" s="87"/>
      <c r="P116" s="90"/>
      <c r="Q116" s="96"/>
      <c r="R116" s="89"/>
      <c r="S116" s="94" t="str">
        <f aca="false">IF(OR(C116="",O116="",K116="✖️ Anulado"),"",O116-C116)</f>
        <v/>
      </c>
      <c r="T116" s="87"/>
      <c r="U116" s="92" t="str">
        <f aca="false">IF(OR(O116="",K116="✖️ Anulado",AND(T116&lt;&gt;"",T116&lt;&gt;"No")),"",N(H116)*IF(P116="",N(G116),N(P116)))</f>
        <v/>
      </c>
      <c r="V116" s="96"/>
      <c r="W116" s="89"/>
    </row>
    <row r="117" customFormat="false" ht="21" hidden="false" customHeight="true" outlineLevel="0" collapsed="false">
      <c r="A117" s="74" t="n">
        <v>113</v>
      </c>
      <c r="B117" s="86"/>
      <c r="C117" s="87"/>
      <c r="D117" s="88"/>
      <c r="E117" s="89"/>
      <c r="F117" s="89"/>
      <c r="G117" s="90"/>
      <c r="H117" s="91"/>
      <c r="I117" s="92" t="str">
        <f aca="false">IF(OR(G117="",H117=""),"",G117*H117)</f>
        <v/>
      </c>
      <c r="J117" s="89"/>
      <c r="K117" s="93" t="str">
        <f aca="true">IF(AND(F117="",D117=""),"",IF(V117="Sí","✖️ Anulado",IF(O117&lt;&gt;"",IF(OR(Q117="Con incidencia",R117&lt;&gt;""),"⚠️ Llegó con incidencia",IF(AND(P117&lt;&gt;"",N(P117)&lt;N(G117)),"🧩 Llegó incompleto","✅ Recibido")),IF(C117="","🛒 Por pedir",IF(AND(N117&lt;&gt;"",TODAY()&gt;N(N117)),"🐢 Retrasado","📦 Pedido (esperando)")))))</f>
        <v/>
      </c>
      <c r="L117" s="94" t="str">
        <f aca="true">IF(OR(N117="",C117="",K117="",K117="✖️ Anulado"),"",IF(O117&lt;&gt;"",MAX(0,O117-N117),IF(TODAY()&gt;N117,TODAY()-N117,"")))</f>
        <v/>
      </c>
      <c r="M117" s="87"/>
      <c r="N117" s="95" t="str">
        <f aca="false">IF(M117&lt;&gt;"",M117,IF(OR(C117="",D117=""),"",IFERROR(IF(INDEX(Listas!$E$5:$E$60,MATCH(D117,Listas!$B$5:$B$60,0))="","",C117+INDEX(Listas!$E$5:$E$60,MATCH(D117,Listas!$B$5:$B$60,0))),"")))</f>
        <v/>
      </c>
      <c r="O117" s="87"/>
      <c r="P117" s="90"/>
      <c r="Q117" s="96"/>
      <c r="R117" s="89"/>
      <c r="S117" s="94" t="str">
        <f aca="false">IF(OR(C117="",O117="",K117="✖️ Anulado"),"",O117-C117)</f>
        <v/>
      </c>
      <c r="T117" s="87"/>
      <c r="U117" s="92" t="str">
        <f aca="false">IF(OR(O117="",K117="✖️ Anulado",AND(T117&lt;&gt;"",T117&lt;&gt;"No")),"",N(H117)*IF(P117="",N(G117),N(P117)))</f>
        <v/>
      </c>
      <c r="V117" s="96"/>
      <c r="W117" s="89"/>
    </row>
    <row r="118" customFormat="false" ht="21" hidden="false" customHeight="true" outlineLevel="0" collapsed="false">
      <c r="A118" s="74" t="n">
        <v>114</v>
      </c>
      <c r="B118" s="86"/>
      <c r="C118" s="87"/>
      <c r="D118" s="88"/>
      <c r="E118" s="89"/>
      <c r="F118" s="89"/>
      <c r="G118" s="90"/>
      <c r="H118" s="91"/>
      <c r="I118" s="92" t="str">
        <f aca="false">IF(OR(G118="",H118=""),"",G118*H118)</f>
        <v/>
      </c>
      <c r="J118" s="89"/>
      <c r="K118" s="93" t="str">
        <f aca="true">IF(AND(F118="",D118=""),"",IF(V118="Sí","✖️ Anulado",IF(O118&lt;&gt;"",IF(OR(Q118="Con incidencia",R118&lt;&gt;""),"⚠️ Llegó con incidencia",IF(AND(P118&lt;&gt;"",N(P118)&lt;N(G118)),"🧩 Llegó incompleto","✅ Recibido")),IF(C118="","🛒 Por pedir",IF(AND(N118&lt;&gt;"",TODAY()&gt;N(N118)),"🐢 Retrasado","📦 Pedido (esperando)")))))</f>
        <v/>
      </c>
      <c r="L118" s="94" t="str">
        <f aca="true">IF(OR(N118="",C118="",K118="",K118="✖️ Anulado"),"",IF(O118&lt;&gt;"",MAX(0,O118-N118),IF(TODAY()&gt;N118,TODAY()-N118,"")))</f>
        <v/>
      </c>
      <c r="M118" s="87"/>
      <c r="N118" s="95" t="str">
        <f aca="false">IF(M118&lt;&gt;"",M118,IF(OR(C118="",D118=""),"",IFERROR(IF(INDEX(Listas!$E$5:$E$60,MATCH(D118,Listas!$B$5:$B$60,0))="","",C118+INDEX(Listas!$E$5:$E$60,MATCH(D118,Listas!$B$5:$B$60,0))),"")))</f>
        <v/>
      </c>
      <c r="O118" s="87"/>
      <c r="P118" s="90"/>
      <c r="Q118" s="96"/>
      <c r="R118" s="89"/>
      <c r="S118" s="94" t="str">
        <f aca="false">IF(OR(C118="",O118="",K118="✖️ Anulado"),"",O118-C118)</f>
        <v/>
      </c>
      <c r="T118" s="87"/>
      <c r="U118" s="92" t="str">
        <f aca="false">IF(OR(O118="",K118="✖️ Anulado",AND(T118&lt;&gt;"",T118&lt;&gt;"No")),"",N(H118)*IF(P118="",N(G118),N(P118)))</f>
        <v/>
      </c>
      <c r="V118" s="96"/>
      <c r="W118" s="89"/>
    </row>
    <row r="119" customFormat="false" ht="21" hidden="false" customHeight="true" outlineLevel="0" collapsed="false">
      <c r="A119" s="74" t="n">
        <v>115</v>
      </c>
      <c r="B119" s="86"/>
      <c r="C119" s="87"/>
      <c r="D119" s="88"/>
      <c r="E119" s="89"/>
      <c r="F119" s="89"/>
      <c r="G119" s="90"/>
      <c r="H119" s="91"/>
      <c r="I119" s="92" t="str">
        <f aca="false">IF(OR(G119="",H119=""),"",G119*H119)</f>
        <v/>
      </c>
      <c r="J119" s="89"/>
      <c r="K119" s="93" t="str">
        <f aca="true">IF(AND(F119="",D119=""),"",IF(V119="Sí","✖️ Anulado",IF(O119&lt;&gt;"",IF(OR(Q119="Con incidencia",R119&lt;&gt;""),"⚠️ Llegó con incidencia",IF(AND(P119&lt;&gt;"",N(P119)&lt;N(G119)),"🧩 Llegó incompleto","✅ Recibido")),IF(C119="","🛒 Por pedir",IF(AND(N119&lt;&gt;"",TODAY()&gt;N(N119)),"🐢 Retrasado","📦 Pedido (esperando)")))))</f>
        <v/>
      </c>
      <c r="L119" s="94" t="str">
        <f aca="true">IF(OR(N119="",C119="",K119="",K119="✖️ Anulado"),"",IF(O119&lt;&gt;"",MAX(0,O119-N119),IF(TODAY()&gt;N119,TODAY()-N119,"")))</f>
        <v/>
      </c>
      <c r="M119" s="87"/>
      <c r="N119" s="95" t="str">
        <f aca="false">IF(M119&lt;&gt;"",M119,IF(OR(C119="",D119=""),"",IFERROR(IF(INDEX(Listas!$E$5:$E$60,MATCH(D119,Listas!$B$5:$B$60,0))="","",C119+INDEX(Listas!$E$5:$E$60,MATCH(D119,Listas!$B$5:$B$60,0))),"")))</f>
        <v/>
      </c>
      <c r="O119" s="87"/>
      <c r="P119" s="90"/>
      <c r="Q119" s="96"/>
      <c r="R119" s="89"/>
      <c r="S119" s="94" t="str">
        <f aca="false">IF(OR(C119="",O119="",K119="✖️ Anulado"),"",O119-C119)</f>
        <v/>
      </c>
      <c r="T119" s="87"/>
      <c r="U119" s="92" t="str">
        <f aca="false">IF(OR(O119="",K119="✖️ Anulado",AND(T119&lt;&gt;"",T119&lt;&gt;"No")),"",N(H119)*IF(P119="",N(G119),N(P119)))</f>
        <v/>
      </c>
      <c r="V119" s="96"/>
      <c r="W119" s="89"/>
    </row>
    <row r="120" customFormat="false" ht="21" hidden="false" customHeight="true" outlineLevel="0" collapsed="false">
      <c r="A120" s="74" t="n">
        <v>116</v>
      </c>
      <c r="B120" s="86"/>
      <c r="C120" s="87"/>
      <c r="D120" s="88"/>
      <c r="E120" s="89"/>
      <c r="F120" s="89"/>
      <c r="G120" s="90"/>
      <c r="H120" s="91"/>
      <c r="I120" s="92" t="str">
        <f aca="false">IF(OR(G120="",H120=""),"",G120*H120)</f>
        <v/>
      </c>
      <c r="J120" s="89"/>
      <c r="K120" s="93" t="str">
        <f aca="true">IF(AND(F120="",D120=""),"",IF(V120="Sí","✖️ Anulado",IF(O120&lt;&gt;"",IF(OR(Q120="Con incidencia",R120&lt;&gt;""),"⚠️ Llegó con incidencia",IF(AND(P120&lt;&gt;"",N(P120)&lt;N(G120)),"🧩 Llegó incompleto","✅ Recibido")),IF(C120="","🛒 Por pedir",IF(AND(N120&lt;&gt;"",TODAY()&gt;N(N120)),"🐢 Retrasado","📦 Pedido (esperando)")))))</f>
        <v/>
      </c>
      <c r="L120" s="94" t="str">
        <f aca="true">IF(OR(N120="",C120="",K120="",K120="✖️ Anulado"),"",IF(O120&lt;&gt;"",MAX(0,O120-N120),IF(TODAY()&gt;N120,TODAY()-N120,"")))</f>
        <v/>
      </c>
      <c r="M120" s="87"/>
      <c r="N120" s="95" t="str">
        <f aca="false">IF(M120&lt;&gt;"",M120,IF(OR(C120="",D120=""),"",IFERROR(IF(INDEX(Listas!$E$5:$E$60,MATCH(D120,Listas!$B$5:$B$60,0))="","",C120+INDEX(Listas!$E$5:$E$60,MATCH(D120,Listas!$B$5:$B$60,0))),"")))</f>
        <v/>
      </c>
      <c r="O120" s="87"/>
      <c r="P120" s="90"/>
      <c r="Q120" s="96"/>
      <c r="R120" s="89"/>
      <c r="S120" s="94" t="str">
        <f aca="false">IF(OR(C120="",O120="",K120="✖️ Anulado"),"",O120-C120)</f>
        <v/>
      </c>
      <c r="T120" s="87"/>
      <c r="U120" s="92" t="str">
        <f aca="false">IF(OR(O120="",K120="✖️ Anulado",AND(T120&lt;&gt;"",T120&lt;&gt;"No")),"",N(H120)*IF(P120="",N(G120),N(P120)))</f>
        <v/>
      </c>
      <c r="V120" s="96"/>
      <c r="W120" s="89"/>
    </row>
    <row r="121" customFormat="false" ht="21" hidden="false" customHeight="true" outlineLevel="0" collapsed="false">
      <c r="A121" s="74" t="n">
        <v>117</v>
      </c>
      <c r="B121" s="86"/>
      <c r="C121" s="87"/>
      <c r="D121" s="88"/>
      <c r="E121" s="89"/>
      <c r="F121" s="89"/>
      <c r="G121" s="90"/>
      <c r="H121" s="91"/>
      <c r="I121" s="92" t="str">
        <f aca="false">IF(OR(G121="",H121=""),"",G121*H121)</f>
        <v/>
      </c>
      <c r="J121" s="89"/>
      <c r="K121" s="93" t="str">
        <f aca="true">IF(AND(F121="",D121=""),"",IF(V121="Sí","✖️ Anulado",IF(O121&lt;&gt;"",IF(OR(Q121="Con incidencia",R121&lt;&gt;""),"⚠️ Llegó con incidencia",IF(AND(P121&lt;&gt;"",N(P121)&lt;N(G121)),"🧩 Llegó incompleto","✅ Recibido")),IF(C121="","🛒 Por pedir",IF(AND(N121&lt;&gt;"",TODAY()&gt;N(N121)),"🐢 Retrasado","📦 Pedido (esperando)")))))</f>
        <v/>
      </c>
      <c r="L121" s="94" t="str">
        <f aca="true">IF(OR(N121="",C121="",K121="",K121="✖️ Anulado"),"",IF(O121&lt;&gt;"",MAX(0,O121-N121),IF(TODAY()&gt;N121,TODAY()-N121,"")))</f>
        <v/>
      </c>
      <c r="M121" s="87"/>
      <c r="N121" s="95" t="str">
        <f aca="false">IF(M121&lt;&gt;"",M121,IF(OR(C121="",D121=""),"",IFERROR(IF(INDEX(Listas!$E$5:$E$60,MATCH(D121,Listas!$B$5:$B$60,0))="","",C121+INDEX(Listas!$E$5:$E$60,MATCH(D121,Listas!$B$5:$B$60,0))),"")))</f>
        <v/>
      </c>
      <c r="O121" s="87"/>
      <c r="P121" s="90"/>
      <c r="Q121" s="96"/>
      <c r="R121" s="89"/>
      <c r="S121" s="94" t="str">
        <f aca="false">IF(OR(C121="",O121="",K121="✖️ Anulado"),"",O121-C121)</f>
        <v/>
      </c>
      <c r="T121" s="87"/>
      <c r="U121" s="92" t="str">
        <f aca="false">IF(OR(O121="",K121="✖️ Anulado",AND(T121&lt;&gt;"",T121&lt;&gt;"No")),"",N(H121)*IF(P121="",N(G121),N(P121)))</f>
        <v/>
      </c>
      <c r="V121" s="96"/>
      <c r="W121" s="89"/>
    </row>
    <row r="122" customFormat="false" ht="21" hidden="false" customHeight="true" outlineLevel="0" collapsed="false">
      <c r="A122" s="74" t="n">
        <v>118</v>
      </c>
      <c r="B122" s="86"/>
      <c r="C122" s="87"/>
      <c r="D122" s="88"/>
      <c r="E122" s="89"/>
      <c r="F122" s="89"/>
      <c r="G122" s="90"/>
      <c r="H122" s="91"/>
      <c r="I122" s="92" t="str">
        <f aca="false">IF(OR(G122="",H122=""),"",G122*H122)</f>
        <v/>
      </c>
      <c r="J122" s="89"/>
      <c r="K122" s="93" t="str">
        <f aca="true">IF(AND(F122="",D122=""),"",IF(V122="Sí","✖️ Anulado",IF(O122&lt;&gt;"",IF(OR(Q122="Con incidencia",R122&lt;&gt;""),"⚠️ Llegó con incidencia",IF(AND(P122&lt;&gt;"",N(P122)&lt;N(G122)),"🧩 Llegó incompleto","✅ Recibido")),IF(C122="","🛒 Por pedir",IF(AND(N122&lt;&gt;"",TODAY()&gt;N(N122)),"🐢 Retrasado","📦 Pedido (esperando)")))))</f>
        <v/>
      </c>
      <c r="L122" s="94" t="str">
        <f aca="true">IF(OR(N122="",C122="",K122="",K122="✖️ Anulado"),"",IF(O122&lt;&gt;"",MAX(0,O122-N122),IF(TODAY()&gt;N122,TODAY()-N122,"")))</f>
        <v/>
      </c>
      <c r="M122" s="87"/>
      <c r="N122" s="95" t="str">
        <f aca="false">IF(M122&lt;&gt;"",M122,IF(OR(C122="",D122=""),"",IFERROR(IF(INDEX(Listas!$E$5:$E$60,MATCH(D122,Listas!$B$5:$B$60,0))="","",C122+INDEX(Listas!$E$5:$E$60,MATCH(D122,Listas!$B$5:$B$60,0))),"")))</f>
        <v/>
      </c>
      <c r="O122" s="87"/>
      <c r="P122" s="90"/>
      <c r="Q122" s="96"/>
      <c r="R122" s="89"/>
      <c r="S122" s="94" t="str">
        <f aca="false">IF(OR(C122="",O122="",K122="✖️ Anulado"),"",O122-C122)</f>
        <v/>
      </c>
      <c r="T122" s="87"/>
      <c r="U122" s="92" t="str">
        <f aca="false">IF(OR(O122="",K122="✖️ Anulado",AND(T122&lt;&gt;"",T122&lt;&gt;"No")),"",N(H122)*IF(P122="",N(G122),N(P122)))</f>
        <v/>
      </c>
      <c r="V122" s="96"/>
      <c r="W122" s="89"/>
    </row>
    <row r="123" customFormat="false" ht="21" hidden="false" customHeight="true" outlineLevel="0" collapsed="false">
      <c r="A123" s="74" t="n">
        <v>119</v>
      </c>
      <c r="B123" s="86"/>
      <c r="C123" s="87"/>
      <c r="D123" s="88"/>
      <c r="E123" s="89"/>
      <c r="F123" s="89"/>
      <c r="G123" s="90"/>
      <c r="H123" s="91"/>
      <c r="I123" s="92" t="str">
        <f aca="false">IF(OR(G123="",H123=""),"",G123*H123)</f>
        <v/>
      </c>
      <c r="J123" s="89"/>
      <c r="K123" s="93" t="str">
        <f aca="true">IF(AND(F123="",D123=""),"",IF(V123="Sí","✖️ Anulado",IF(O123&lt;&gt;"",IF(OR(Q123="Con incidencia",R123&lt;&gt;""),"⚠️ Llegó con incidencia",IF(AND(P123&lt;&gt;"",N(P123)&lt;N(G123)),"🧩 Llegó incompleto","✅ Recibido")),IF(C123="","🛒 Por pedir",IF(AND(N123&lt;&gt;"",TODAY()&gt;N(N123)),"🐢 Retrasado","📦 Pedido (esperando)")))))</f>
        <v/>
      </c>
      <c r="L123" s="94" t="str">
        <f aca="true">IF(OR(N123="",C123="",K123="",K123="✖️ Anulado"),"",IF(O123&lt;&gt;"",MAX(0,O123-N123),IF(TODAY()&gt;N123,TODAY()-N123,"")))</f>
        <v/>
      </c>
      <c r="M123" s="87"/>
      <c r="N123" s="95" t="str">
        <f aca="false">IF(M123&lt;&gt;"",M123,IF(OR(C123="",D123=""),"",IFERROR(IF(INDEX(Listas!$E$5:$E$60,MATCH(D123,Listas!$B$5:$B$60,0))="","",C123+INDEX(Listas!$E$5:$E$60,MATCH(D123,Listas!$B$5:$B$60,0))),"")))</f>
        <v/>
      </c>
      <c r="O123" s="87"/>
      <c r="P123" s="90"/>
      <c r="Q123" s="96"/>
      <c r="R123" s="89"/>
      <c r="S123" s="94" t="str">
        <f aca="false">IF(OR(C123="",O123="",K123="✖️ Anulado"),"",O123-C123)</f>
        <v/>
      </c>
      <c r="T123" s="87"/>
      <c r="U123" s="92" t="str">
        <f aca="false">IF(OR(O123="",K123="✖️ Anulado",AND(T123&lt;&gt;"",T123&lt;&gt;"No")),"",N(H123)*IF(P123="",N(G123),N(P123)))</f>
        <v/>
      </c>
      <c r="V123" s="96"/>
      <c r="W123" s="89"/>
    </row>
    <row r="124" customFormat="false" ht="21" hidden="false" customHeight="true" outlineLevel="0" collapsed="false">
      <c r="A124" s="74" t="n">
        <v>120</v>
      </c>
      <c r="B124" s="86"/>
      <c r="C124" s="87"/>
      <c r="D124" s="88"/>
      <c r="E124" s="89"/>
      <c r="F124" s="89"/>
      <c r="G124" s="90"/>
      <c r="H124" s="91"/>
      <c r="I124" s="92" t="str">
        <f aca="false">IF(OR(G124="",H124=""),"",G124*H124)</f>
        <v/>
      </c>
      <c r="J124" s="89"/>
      <c r="K124" s="93" t="str">
        <f aca="true">IF(AND(F124="",D124=""),"",IF(V124="Sí","✖️ Anulado",IF(O124&lt;&gt;"",IF(OR(Q124="Con incidencia",R124&lt;&gt;""),"⚠️ Llegó con incidencia",IF(AND(P124&lt;&gt;"",N(P124)&lt;N(G124)),"🧩 Llegó incompleto","✅ Recibido")),IF(C124="","🛒 Por pedir",IF(AND(N124&lt;&gt;"",TODAY()&gt;N(N124)),"🐢 Retrasado","📦 Pedido (esperando)")))))</f>
        <v/>
      </c>
      <c r="L124" s="94" t="str">
        <f aca="true">IF(OR(N124="",C124="",K124="",K124="✖️ Anulado"),"",IF(O124&lt;&gt;"",MAX(0,O124-N124),IF(TODAY()&gt;N124,TODAY()-N124,"")))</f>
        <v/>
      </c>
      <c r="M124" s="87"/>
      <c r="N124" s="95" t="str">
        <f aca="false">IF(M124&lt;&gt;"",M124,IF(OR(C124="",D124=""),"",IFERROR(IF(INDEX(Listas!$E$5:$E$60,MATCH(D124,Listas!$B$5:$B$60,0))="","",C124+INDEX(Listas!$E$5:$E$60,MATCH(D124,Listas!$B$5:$B$60,0))),"")))</f>
        <v/>
      </c>
      <c r="O124" s="87"/>
      <c r="P124" s="90"/>
      <c r="Q124" s="96"/>
      <c r="R124" s="89"/>
      <c r="S124" s="94" t="str">
        <f aca="false">IF(OR(C124="",O124="",K124="✖️ Anulado"),"",O124-C124)</f>
        <v/>
      </c>
      <c r="T124" s="87"/>
      <c r="U124" s="92" t="str">
        <f aca="false">IF(OR(O124="",K124="✖️ Anulado",AND(T124&lt;&gt;"",T124&lt;&gt;"No")),"",N(H124)*IF(P124="",N(G124),N(P124)))</f>
        <v/>
      </c>
      <c r="V124" s="96"/>
      <c r="W124" s="89"/>
    </row>
    <row r="125" customFormat="false" ht="21" hidden="false" customHeight="true" outlineLevel="0" collapsed="false">
      <c r="A125" s="74" t="n">
        <v>121</v>
      </c>
      <c r="B125" s="86"/>
      <c r="C125" s="87"/>
      <c r="D125" s="88"/>
      <c r="E125" s="89"/>
      <c r="F125" s="89"/>
      <c r="G125" s="90"/>
      <c r="H125" s="91"/>
      <c r="I125" s="92" t="str">
        <f aca="false">IF(OR(G125="",H125=""),"",G125*H125)</f>
        <v/>
      </c>
      <c r="J125" s="89"/>
      <c r="K125" s="93" t="str">
        <f aca="true">IF(AND(F125="",D125=""),"",IF(V125="Sí","✖️ Anulado",IF(O125&lt;&gt;"",IF(OR(Q125="Con incidencia",R125&lt;&gt;""),"⚠️ Llegó con incidencia",IF(AND(P125&lt;&gt;"",N(P125)&lt;N(G125)),"🧩 Llegó incompleto","✅ Recibido")),IF(C125="","🛒 Por pedir",IF(AND(N125&lt;&gt;"",TODAY()&gt;N(N125)),"🐢 Retrasado","📦 Pedido (esperando)")))))</f>
        <v/>
      </c>
      <c r="L125" s="94" t="str">
        <f aca="true">IF(OR(N125="",C125="",K125="",K125="✖️ Anulado"),"",IF(O125&lt;&gt;"",MAX(0,O125-N125),IF(TODAY()&gt;N125,TODAY()-N125,"")))</f>
        <v/>
      </c>
      <c r="M125" s="87"/>
      <c r="N125" s="95" t="str">
        <f aca="false">IF(M125&lt;&gt;"",M125,IF(OR(C125="",D125=""),"",IFERROR(IF(INDEX(Listas!$E$5:$E$60,MATCH(D125,Listas!$B$5:$B$60,0))="","",C125+INDEX(Listas!$E$5:$E$60,MATCH(D125,Listas!$B$5:$B$60,0))),"")))</f>
        <v/>
      </c>
      <c r="O125" s="87"/>
      <c r="P125" s="90"/>
      <c r="Q125" s="96"/>
      <c r="R125" s="89"/>
      <c r="S125" s="94" t="str">
        <f aca="false">IF(OR(C125="",O125="",K125="✖️ Anulado"),"",O125-C125)</f>
        <v/>
      </c>
      <c r="T125" s="87"/>
      <c r="U125" s="92" t="str">
        <f aca="false">IF(OR(O125="",K125="✖️ Anulado",AND(T125&lt;&gt;"",T125&lt;&gt;"No")),"",N(H125)*IF(P125="",N(G125),N(P125)))</f>
        <v/>
      </c>
      <c r="V125" s="96"/>
      <c r="W125" s="89"/>
    </row>
    <row r="126" customFormat="false" ht="21" hidden="false" customHeight="true" outlineLevel="0" collapsed="false">
      <c r="A126" s="74" t="n">
        <v>122</v>
      </c>
      <c r="B126" s="86"/>
      <c r="C126" s="87"/>
      <c r="D126" s="88"/>
      <c r="E126" s="89"/>
      <c r="F126" s="89"/>
      <c r="G126" s="90"/>
      <c r="H126" s="91"/>
      <c r="I126" s="92" t="str">
        <f aca="false">IF(OR(G126="",H126=""),"",G126*H126)</f>
        <v/>
      </c>
      <c r="J126" s="89"/>
      <c r="K126" s="93" t="str">
        <f aca="true">IF(AND(F126="",D126=""),"",IF(V126="Sí","✖️ Anulado",IF(O126&lt;&gt;"",IF(OR(Q126="Con incidencia",R126&lt;&gt;""),"⚠️ Llegó con incidencia",IF(AND(P126&lt;&gt;"",N(P126)&lt;N(G126)),"🧩 Llegó incompleto","✅ Recibido")),IF(C126="","🛒 Por pedir",IF(AND(N126&lt;&gt;"",TODAY()&gt;N(N126)),"🐢 Retrasado","📦 Pedido (esperando)")))))</f>
        <v/>
      </c>
      <c r="L126" s="94" t="str">
        <f aca="true">IF(OR(N126="",C126="",K126="",K126="✖️ Anulado"),"",IF(O126&lt;&gt;"",MAX(0,O126-N126),IF(TODAY()&gt;N126,TODAY()-N126,"")))</f>
        <v/>
      </c>
      <c r="M126" s="87"/>
      <c r="N126" s="95" t="str">
        <f aca="false">IF(M126&lt;&gt;"",M126,IF(OR(C126="",D126=""),"",IFERROR(IF(INDEX(Listas!$E$5:$E$60,MATCH(D126,Listas!$B$5:$B$60,0))="","",C126+INDEX(Listas!$E$5:$E$60,MATCH(D126,Listas!$B$5:$B$60,0))),"")))</f>
        <v/>
      </c>
      <c r="O126" s="87"/>
      <c r="P126" s="90"/>
      <c r="Q126" s="96"/>
      <c r="R126" s="89"/>
      <c r="S126" s="94" t="str">
        <f aca="false">IF(OR(C126="",O126="",K126="✖️ Anulado"),"",O126-C126)</f>
        <v/>
      </c>
      <c r="T126" s="87"/>
      <c r="U126" s="92" t="str">
        <f aca="false">IF(OR(O126="",K126="✖️ Anulado",AND(T126&lt;&gt;"",T126&lt;&gt;"No")),"",N(H126)*IF(P126="",N(G126),N(P126)))</f>
        <v/>
      </c>
      <c r="V126" s="96"/>
      <c r="W126" s="89"/>
    </row>
    <row r="127" customFormat="false" ht="21" hidden="false" customHeight="true" outlineLevel="0" collapsed="false">
      <c r="A127" s="74" t="n">
        <v>123</v>
      </c>
      <c r="B127" s="86"/>
      <c r="C127" s="87"/>
      <c r="D127" s="88"/>
      <c r="E127" s="89"/>
      <c r="F127" s="89"/>
      <c r="G127" s="90"/>
      <c r="H127" s="91"/>
      <c r="I127" s="92" t="str">
        <f aca="false">IF(OR(G127="",H127=""),"",G127*H127)</f>
        <v/>
      </c>
      <c r="J127" s="89"/>
      <c r="K127" s="93" t="str">
        <f aca="true">IF(AND(F127="",D127=""),"",IF(V127="Sí","✖️ Anulado",IF(O127&lt;&gt;"",IF(OR(Q127="Con incidencia",R127&lt;&gt;""),"⚠️ Llegó con incidencia",IF(AND(P127&lt;&gt;"",N(P127)&lt;N(G127)),"🧩 Llegó incompleto","✅ Recibido")),IF(C127="","🛒 Por pedir",IF(AND(N127&lt;&gt;"",TODAY()&gt;N(N127)),"🐢 Retrasado","📦 Pedido (esperando)")))))</f>
        <v/>
      </c>
      <c r="L127" s="94" t="str">
        <f aca="true">IF(OR(N127="",C127="",K127="",K127="✖️ Anulado"),"",IF(O127&lt;&gt;"",MAX(0,O127-N127),IF(TODAY()&gt;N127,TODAY()-N127,"")))</f>
        <v/>
      </c>
      <c r="M127" s="87"/>
      <c r="N127" s="95" t="str">
        <f aca="false">IF(M127&lt;&gt;"",M127,IF(OR(C127="",D127=""),"",IFERROR(IF(INDEX(Listas!$E$5:$E$60,MATCH(D127,Listas!$B$5:$B$60,0))="","",C127+INDEX(Listas!$E$5:$E$60,MATCH(D127,Listas!$B$5:$B$60,0))),"")))</f>
        <v/>
      </c>
      <c r="O127" s="87"/>
      <c r="P127" s="90"/>
      <c r="Q127" s="96"/>
      <c r="R127" s="89"/>
      <c r="S127" s="94" t="str">
        <f aca="false">IF(OR(C127="",O127="",K127="✖️ Anulado"),"",O127-C127)</f>
        <v/>
      </c>
      <c r="T127" s="87"/>
      <c r="U127" s="92" t="str">
        <f aca="false">IF(OR(O127="",K127="✖️ Anulado",AND(T127&lt;&gt;"",T127&lt;&gt;"No")),"",N(H127)*IF(P127="",N(G127),N(P127)))</f>
        <v/>
      </c>
      <c r="V127" s="96"/>
      <c r="W127" s="89"/>
    </row>
    <row r="128" customFormat="false" ht="21" hidden="false" customHeight="true" outlineLevel="0" collapsed="false">
      <c r="A128" s="74" t="n">
        <v>124</v>
      </c>
      <c r="B128" s="86"/>
      <c r="C128" s="87"/>
      <c r="D128" s="88"/>
      <c r="E128" s="89"/>
      <c r="F128" s="89"/>
      <c r="G128" s="90"/>
      <c r="H128" s="91"/>
      <c r="I128" s="92" t="str">
        <f aca="false">IF(OR(G128="",H128=""),"",G128*H128)</f>
        <v/>
      </c>
      <c r="J128" s="89"/>
      <c r="K128" s="93" t="str">
        <f aca="true">IF(AND(F128="",D128=""),"",IF(V128="Sí","✖️ Anulado",IF(O128&lt;&gt;"",IF(OR(Q128="Con incidencia",R128&lt;&gt;""),"⚠️ Llegó con incidencia",IF(AND(P128&lt;&gt;"",N(P128)&lt;N(G128)),"🧩 Llegó incompleto","✅ Recibido")),IF(C128="","🛒 Por pedir",IF(AND(N128&lt;&gt;"",TODAY()&gt;N(N128)),"🐢 Retrasado","📦 Pedido (esperando)")))))</f>
        <v/>
      </c>
      <c r="L128" s="94" t="str">
        <f aca="true">IF(OR(N128="",C128="",K128="",K128="✖️ Anulado"),"",IF(O128&lt;&gt;"",MAX(0,O128-N128),IF(TODAY()&gt;N128,TODAY()-N128,"")))</f>
        <v/>
      </c>
      <c r="M128" s="87"/>
      <c r="N128" s="95" t="str">
        <f aca="false">IF(M128&lt;&gt;"",M128,IF(OR(C128="",D128=""),"",IFERROR(IF(INDEX(Listas!$E$5:$E$60,MATCH(D128,Listas!$B$5:$B$60,0))="","",C128+INDEX(Listas!$E$5:$E$60,MATCH(D128,Listas!$B$5:$B$60,0))),"")))</f>
        <v/>
      </c>
      <c r="O128" s="87"/>
      <c r="P128" s="90"/>
      <c r="Q128" s="96"/>
      <c r="R128" s="89"/>
      <c r="S128" s="94" t="str">
        <f aca="false">IF(OR(C128="",O128="",K128="✖️ Anulado"),"",O128-C128)</f>
        <v/>
      </c>
      <c r="T128" s="87"/>
      <c r="U128" s="92" t="str">
        <f aca="false">IF(OR(O128="",K128="✖️ Anulado",AND(T128&lt;&gt;"",T128&lt;&gt;"No")),"",N(H128)*IF(P128="",N(G128),N(P128)))</f>
        <v/>
      </c>
      <c r="V128" s="96"/>
      <c r="W128" s="89"/>
    </row>
    <row r="129" customFormat="false" ht="21" hidden="false" customHeight="true" outlineLevel="0" collapsed="false">
      <c r="A129" s="74" t="n">
        <v>125</v>
      </c>
      <c r="B129" s="86"/>
      <c r="C129" s="87"/>
      <c r="D129" s="88"/>
      <c r="E129" s="89"/>
      <c r="F129" s="89"/>
      <c r="G129" s="90"/>
      <c r="H129" s="91"/>
      <c r="I129" s="92" t="str">
        <f aca="false">IF(OR(G129="",H129=""),"",G129*H129)</f>
        <v/>
      </c>
      <c r="J129" s="89"/>
      <c r="K129" s="93" t="str">
        <f aca="true">IF(AND(F129="",D129=""),"",IF(V129="Sí","✖️ Anulado",IF(O129&lt;&gt;"",IF(OR(Q129="Con incidencia",R129&lt;&gt;""),"⚠️ Llegó con incidencia",IF(AND(P129&lt;&gt;"",N(P129)&lt;N(G129)),"🧩 Llegó incompleto","✅ Recibido")),IF(C129="","🛒 Por pedir",IF(AND(N129&lt;&gt;"",TODAY()&gt;N(N129)),"🐢 Retrasado","📦 Pedido (esperando)")))))</f>
        <v/>
      </c>
      <c r="L129" s="94" t="str">
        <f aca="true">IF(OR(N129="",C129="",K129="",K129="✖️ Anulado"),"",IF(O129&lt;&gt;"",MAX(0,O129-N129),IF(TODAY()&gt;N129,TODAY()-N129,"")))</f>
        <v/>
      </c>
      <c r="M129" s="87"/>
      <c r="N129" s="95" t="str">
        <f aca="false">IF(M129&lt;&gt;"",M129,IF(OR(C129="",D129=""),"",IFERROR(IF(INDEX(Listas!$E$5:$E$60,MATCH(D129,Listas!$B$5:$B$60,0))="","",C129+INDEX(Listas!$E$5:$E$60,MATCH(D129,Listas!$B$5:$B$60,0))),"")))</f>
        <v/>
      </c>
      <c r="O129" s="87"/>
      <c r="P129" s="90"/>
      <c r="Q129" s="96"/>
      <c r="R129" s="89"/>
      <c r="S129" s="94" t="str">
        <f aca="false">IF(OR(C129="",O129="",K129="✖️ Anulado"),"",O129-C129)</f>
        <v/>
      </c>
      <c r="T129" s="87"/>
      <c r="U129" s="92" t="str">
        <f aca="false">IF(OR(O129="",K129="✖️ Anulado",AND(T129&lt;&gt;"",T129&lt;&gt;"No")),"",N(H129)*IF(P129="",N(G129),N(P129)))</f>
        <v/>
      </c>
      <c r="V129" s="96"/>
      <c r="W129" s="89"/>
    </row>
    <row r="130" customFormat="false" ht="21" hidden="false" customHeight="true" outlineLevel="0" collapsed="false">
      <c r="A130" s="74" t="n">
        <v>126</v>
      </c>
      <c r="B130" s="86"/>
      <c r="C130" s="87"/>
      <c r="D130" s="88"/>
      <c r="E130" s="89"/>
      <c r="F130" s="89"/>
      <c r="G130" s="90"/>
      <c r="H130" s="91"/>
      <c r="I130" s="92" t="str">
        <f aca="false">IF(OR(G130="",H130=""),"",G130*H130)</f>
        <v/>
      </c>
      <c r="J130" s="89"/>
      <c r="K130" s="93" t="str">
        <f aca="true">IF(AND(F130="",D130=""),"",IF(V130="Sí","✖️ Anulado",IF(O130&lt;&gt;"",IF(OR(Q130="Con incidencia",R130&lt;&gt;""),"⚠️ Llegó con incidencia",IF(AND(P130&lt;&gt;"",N(P130)&lt;N(G130)),"🧩 Llegó incompleto","✅ Recibido")),IF(C130="","🛒 Por pedir",IF(AND(N130&lt;&gt;"",TODAY()&gt;N(N130)),"🐢 Retrasado","📦 Pedido (esperando)")))))</f>
        <v/>
      </c>
      <c r="L130" s="94" t="str">
        <f aca="true">IF(OR(N130="",C130="",K130="",K130="✖️ Anulado"),"",IF(O130&lt;&gt;"",MAX(0,O130-N130),IF(TODAY()&gt;N130,TODAY()-N130,"")))</f>
        <v/>
      </c>
      <c r="M130" s="87"/>
      <c r="N130" s="95" t="str">
        <f aca="false">IF(M130&lt;&gt;"",M130,IF(OR(C130="",D130=""),"",IFERROR(IF(INDEX(Listas!$E$5:$E$60,MATCH(D130,Listas!$B$5:$B$60,0))="","",C130+INDEX(Listas!$E$5:$E$60,MATCH(D130,Listas!$B$5:$B$60,0))),"")))</f>
        <v/>
      </c>
      <c r="O130" s="87"/>
      <c r="P130" s="90"/>
      <c r="Q130" s="96"/>
      <c r="R130" s="89"/>
      <c r="S130" s="94" t="str">
        <f aca="false">IF(OR(C130="",O130="",K130="✖️ Anulado"),"",O130-C130)</f>
        <v/>
      </c>
      <c r="T130" s="87"/>
      <c r="U130" s="92" t="str">
        <f aca="false">IF(OR(O130="",K130="✖️ Anulado",AND(T130&lt;&gt;"",T130&lt;&gt;"No")),"",N(H130)*IF(P130="",N(G130),N(P130)))</f>
        <v/>
      </c>
      <c r="V130" s="96"/>
      <c r="W130" s="89"/>
    </row>
    <row r="131" customFormat="false" ht="21" hidden="false" customHeight="true" outlineLevel="0" collapsed="false">
      <c r="A131" s="74" t="n">
        <v>127</v>
      </c>
      <c r="B131" s="86"/>
      <c r="C131" s="87"/>
      <c r="D131" s="88"/>
      <c r="E131" s="89"/>
      <c r="F131" s="89"/>
      <c r="G131" s="90"/>
      <c r="H131" s="91"/>
      <c r="I131" s="92" t="str">
        <f aca="false">IF(OR(G131="",H131=""),"",G131*H131)</f>
        <v/>
      </c>
      <c r="J131" s="89"/>
      <c r="K131" s="93" t="str">
        <f aca="true">IF(AND(F131="",D131=""),"",IF(V131="Sí","✖️ Anulado",IF(O131&lt;&gt;"",IF(OR(Q131="Con incidencia",R131&lt;&gt;""),"⚠️ Llegó con incidencia",IF(AND(P131&lt;&gt;"",N(P131)&lt;N(G131)),"🧩 Llegó incompleto","✅ Recibido")),IF(C131="","🛒 Por pedir",IF(AND(N131&lt;&gt;"",TODAY()&gt;N(N131)),"🐢 Retrasado","📦 Pedido (esperando)")))))</f>
        <v/>
      </c>
      <c r="L131" s="94" t="str">
        <f aca="true">IF(OR(N131="",C131="",K131="",K131="✖️ Anulado"),"",IF(O131&lt;&gt;"",MAX(0,O131-N131),IF(TODAY()&gt;N131,TODAY()-N131,"")))</f>
        <v/>
      </c>
      <c r="M131" s="87"/>
      <c r="N131" s="95" t="str">
        <f aca="false">IF(M131&lt;&gt;"",M131,IF(OR(C131="",D131=""),"",IFERROR(IF(INDEX(Listas!$E$5:$E$60,MATCH(D131,Listas!$B$5:$B$60,0))="","",C131+INDEX(Listas!$E$5:$E$60,MATCH(D131,Listas!$B$5:$B$60,0))),"")))</f>
        <v/>
      </c>
      <c r="O131" s="87"/>
      <c r="P131" s="90"/>
      <c r="Q131" s="96"/>
      <c r="R131" s="89"/>
      <c r="S131" s="94" t="str">
        <f aca="false">IF(OR(C131="",O131="",K131="✖️ Anulado"),"",O131-C131)</f>
        <v/>
      </c>
      <c r="T131" s="87"/>
      <c r="U131" s="92" t="str">
        <f aca="false">IF(OR(O131="",K131="✖️ Anulado",AND(T131&lt;&gt;"",T131&lt;&gt;"No")),"",N(H131)*IF(P131="",N(G131),N(P131)))</f>
        <v/>
      </c>
      <c r="V131" s="96"/>
      <c r="W131" s="89"/>
    </row>
    <row r="132" customFormat="false" ht="21" hidden="false" customHeight="true" outlineLevel="0" collapsed="false">
      <c r="A132" s="74" t="n">
        <v>128</v>
      </c>
      <c r="B132" s="86"/>
      <c r="C132" s="87"/>
      <c r="D132" s="88"/>
      <c r="E132" s="89"/>
      <c r="F132" s="89"/>
      <c r="G132" s="90"/>
      <c r="H132" s="91"/>
      <c r="I132" s="92" t="str">
        <f aca="false">IF(OR(G132="",H132=""),"",G132*H132)</f>
        <v/>
      </c>
      <c r="J132" s="89"/>
      <c r="K132" s="93" t="str">
        <f aca="true">IF(AND(F132="",D132=""),"",IF(V132="Sí","✖️ Anulado",IF(O132&lt;&gt;"",IF(OR(Q132="Con incidencia",R132&lt;&gt;""),"⚠️ Llegó con incidencia",IF(AND(P132&lt;&gt;"",N(P132)&lt;N(G132)),"🧩 Llegó incompleto","✅ Recibido")),IF(C132="","🛒 Por pedir",IF(AND(N132&lt;&gt;"",TODAY()&gt;N(N132)),"🐢 Retrasado","📦 Pedido (esperando)")))))</f>
        <v/>
      </c>
      <c r="L132" s="94" t="str">
        <f aca="true">IF(OR(N132="",C132="",K132="",K132="✖️ Anulado"),"",IF(O132&lt;&gt;"",MAX(0,O132-N132),IF(TODAY()&gt;N132,TODAY()-N132,"")))</f>
        <v/>
      </c>
      <c r="M132" s="87"/>
      <c r="N132" s="95" t="str">
        <f aca="false">IF(M132&lt;&gt;"",M132,IF(OR(C132="",D132=""),"",IFERROR(IF(INDEX(Listas!$E$5:$E$60,MATCH(D132,Listas!$B$5:$B$60,0))="","",C132+INDEX(Listas!$E$5:$E$60,MATCH(D132,Listas!$B$5:$B$60,0))),"")))</f>
        <v/>
      </c>
      <c r="O132" s="87"/>
      <c r="P132" s="90"/>
      <c r="Q132" s="96"/>
      <c r="R132" s="89"/>
      <c r="S132" s="94" t="str">
        <f aca="false">IF(OR(C132="",O132="",K132="✖️ Anulado"),"",O132-C132)</f>
        <v/>
      </c>
      <c r="T132" s="87"/>
      <c r="U132" s="92" t="str">
        <f aca="false">IF(OR(O132="",K132="✖️ Anulado",AND(T132&lt;&gt;"",T132&lt;&gt;"No")),"",N(H132)*IF(P132="",N(G132),N(P132)))</f>
        <v/>
      </c>
      <c r="V132" s="96"/>
      <c r="W132" s="89"/>
    </row>
    <row r="133" customFormat="false" ht="21" hidden="false" customHeight="true" outlineLevel="0" collapsed="false">
      <c r="A133" s="74" t="n">
        <v>129</v>
      </c>
      <c r="B133" s="86"/>
      <c r="C133" s="87"/>
      <c r="D133" s="88"/>
      <c r="E133" s="89"/>
      <c r="F133" s="89"/>
      <c r="G133" s="90"/>
      <c r="H133" s="91"/>
      <c r="I133" s="92" t="str">
        <f aca="false">IF(OR(G133="",H133=""),"",G133*H133)</f>
        <v/>
      </c>
      <c r="J133" s="89"/>
      <c r="K133" s="93" t="str">
        <f aca="true">IF(AND(F133="",D133=""),"",IF(V133="Sí","✖️ Anulado",IF(O133&lt;&gt;"",IF(OR(Q133="Con incidencia",R133&lt;&gt;""),"⚠️ Llegó con incidencia",IF(AND(P133&lt;&gt;"",N(P133)&lt;N(G133)),"🧩 Llegó incompleto","✅ Recibido")),IF(C133="","🛒 Por pedir",IF(AND(N133&lt;&gt;"",TODAY()&gt;N(N133)),"🐢 Retrasado","📦 Pedido (esperando)")))))</f>
        <v/>
      </c>
      <c r="L133" s="94" t="str">
        <f aca="true">IF(OR(N133="",C133="",K133="",K133="✖️ Anulado"),"",IF(O133&lt;&gt;"",MAX(0,O133-N133),IF(TODAY()&gt;N133,TODAY()-N133,"")))</f>
        <v/>
      </c>
      <c r="M133" s="87"/>
      <c r="N133" s="95" t="str">
        <f aca="false">IF(M133&lt;&gt;"",M133,IF(OR(C133="",D133=""),"",IFERROR(IF(INDEX(Listas!$E$5:$E$60,MATCH(D133,Listas!$B$5:$B$60,0))="","",C133+INDEX(Listas!$E$5:$E$60,MATCH(D133,Listas!$B$5:$B$60,0))),"")))</f>
        <v/>
      </c>
      <c r="O133" s="87"/>
      <c r="P133" s="90"/>
      <c r="Q133" s="96"/>
      <c r="R133" s="89"/>
      <c r="S133" s="94" t="str">
        <f aca="false">IF(OR(C133="",O133="",K133="✖️ Anulado"),"",O133-C133)</f>
        <v/>
      </c>
      <c r="T133" s="87"/>
      <c r="U133" s="92" t="str">
        <f aca="false">IF(OR(O133="",K133="✖️ Anulado",AND(T133&lt;&gt;"",T133&lt;&gt;"No")),"",N(H133)*IF(P133="",N(G133),N(P133)))</f>
        <v/>
      </c>
      <c r="V133" s="96"/>
      <c r="W133" s="89"/>
    </row>
    <row r="134" customFormat="false" ht="21" hidden="false" customHeight="true" outlineLevel="0" collapsed="false">
      <c r="A134" s="74" t="n">
        <v>130</v>
      </c>
      <c r="B134" s="86"/>
      <c r="C134" s="87"/>
      <c r="D134" s="88"/>
      <c r="E134" s="89"/>
      <c r="F134" s="89"/>
      <c r="G134" s="90"/>
      <c r="H134" s="91"/>
      <c r="I134" s="92" t="str">
        <f aca="false">IF(OR(G134="",H134=""),"",G134*H134)</f>
        <v/>
      </c>
      <c r="J134" s="89"/>
      <c r="K134" s="93" t="str">
        <f aca="true">IF(AND(F134="",D134=""),"",IF(V134="Sí","✖️ Anulado",IF(O134&lt;&gt;"",IF(OR(Q134="Con incidencia",R134&lt;&gt;""),"⚠️ Llegó con incidencia",IF(AND(P134&lt;&gt;"",N(P134)&lt;N(G134)),"🧩 Llegó incompleto","✅ Recibido")),IF(C134="","🛒 Por pedir",IF(AND(N134&lt;&gt;"",TODAY()&gt;N(N134)),"🐢 Retrasado","📦 Pedido (esperando)")))))</f>
        <v/>
      </c>
      <c r="L134" s="94" t="str">
        <f aca="true">IF(OR(N134="",C134="",K134="",K134="✖️ Anulado"),"",IF(O134&lt;&gt;"",MAX(0,O134-N134),IF(TODAY()&gt;N134,TODAY()-N134,"")))</f>
        <v/>
      </c>
      <c r="M134" s="87"/>
      <c r="N134" s="95" t="str">
        <f aca="false">IF(M134&lt;&gt;"",M134,IF(OR(C134="",D134=""),"",IFERROR(IF(INDEX(Listas!$E$5:$E$60,MATCH(D134,Listas!$B$5:$B$60,0))="","",C134+INDEX(Listas!$E$5:$E$60,MATCH(D134,Listas!$B$5:$B$60,0))),"")))</f>
        <v/>
      </c>
      <c r="O134" s="87"/>
      <c r="P134" s="90"/>
      <c r="Q134" s="96"/>
      <c r="R134" s="89"/>
      <c r="S134" s="94" t="str">
        <f aca="false">IF(OR(C134="",O134="",K134="✖️ Anulado"),"",O134-C134)</f>
        <v/>
      </c>
      <c r="T134" s="87"/>
      <c r="U134" s="92" t="str">
        <f aca="false">IF(OR(O134="",K134="✖️ Anulado",AND(T134&lt;&gt;"",T134&lt;&gt;"No")),"",N(H134)*IF(P134="",N(G134),N(P134)))</f>
        <v/>
      </c>
      <c r="V134" s="96"/>
      <c r="W134" s="89"/>
    </row>
    <row r="135" customFormat="false" ht="21" hidden="false" customHeight="true" outlineLevel="0" collapsed="false">
      <c r="A135" s="74" t="n">
        <v>131</v>
      </c>
      <c r="B135" s="86"/>
      <c r="C135" s="87"/>
      <c r="D135" s="88"/>
      <c r="E135" s="89"/>
      <c r="F135" s="89"/>
      <c r="G135" s="90"/>
      <c r="H135" s="91"/>
      <c r="I135" s="92" t="str">
        <f aca="false">IF(OR(G135="",H135=""),"",G135*H135)</f>
        <v/>
      </c>
      <c r="J135" s="89"/>
      <c r="K135" s="93" t="str">
        <f aca="true">IF(AND(F135="",D135=""),"",IF(V135="Sí","✖️ Anulado",IF(O135&lt;&gt;"",IF(OR(Q135="Con incidencia",R135&lt;&gt;""),"⚠️ Llegó con incidencia",IF(AND(P135&lt;&gt;"",N(P135)&lt;N(G135)),"🧩 Llegó incompleto","✅ Recibido")),IF(C135="","🛒 Por pedir",IF(AND(N135&lt;&gt;"",TODAY()&gt;N(N135)),"🐢 Retrasado","📦 Pedido (esperando)")))))</f>
        <v/>
      </c>
      <c r="L135" s="94" t="str">
        <f aca="true">IF(OR(N135="",C135="",K135="",K135="✖️ Anulado"),"",IF(O135&lt;&gt;"",MAX(0,O135-N135),IF(TODAY()&gt;N135,TODAY()-N135,"")))</f>
        <v/>
      </c>
      <c r="M135" s="87"/>
      <c r="N135" s="95" t="str">
        <f aca="false">IF(M135&lt;&gt;"",M135,IF(OR(C135="",D135=""),"",IFERROR(IF(INDEX(Listas!$E$5:$E$60,MATCH(D135,Listas!$B$5:$B$60,0))="","",C135+INDEX(Listas!$E$5:$E$60,MATCH(D135,Listas!$B$5:$B$60,0))),"")))</f>
        <v/>
      </c>
      <c r="O135" s="87"/>
      <c r="P135" s="90"/>
      <c r="Q135" s="96"/>
      <c r="R135" s="89"/>
      <c r="S135" s="94" t="str">
        <f aca="false">IF(OR(C135="",O135="",K135="✖️ Anulado"),"",O135-C135)</f>
        <v/>
      </c>
      <c r="T135" s="87"/>
      <c r="U135" s="92" t="str">
        <f aca="false">IF(OR(O135="",K135="✖️ Anulado",AND(T135&lt;&gt;"",T135&lt;&gt;"No")),"",N(H135)*IF(P135="",N(G135),N(P135)))</f>
        <v/>
      </c>
      <c r="V135" s="96"/>
      <c r="W135" s="89"/>
    </row>
    <row r="136" customFormat="false" ht="21" hidden="false" customHeight="true" outlineLevel="0" collapsed="false">
      <c r="A136" s="74" t="n">
        <v>132</v>
      </c>
      <c r="B136" s="86"/>
      <c r="C136" s="87"/>
      <c r="D136" s="88"/>
      <c r="E136" s="89"/>
      <c r="F136" s="89"/>
      <c r="G136" s="90"/>
      <c r="H136" s="91"/>
      <c r="I136" s="92" t="str">
        <f aca="false">IF(OR(G136="",H136=""),"",G136*H136)</f>
        <v/>
      </c>
      <c r="J136" s="89"/>
      <c r="K136" s="93" t="str">
        <f aca="true">IF(AND(F136="",D136=""),"",IF(V136="Sí","✖️ Anulado",IF(O136&lt;&gt;"",IF(OR(Q136="Con incidencia",R136&lt;&gt;""),"⚠️ Llegó con incidencia",IF(AND(P136&lt;&gt;"",N(P136)&lt;N(G136)),"🧩 Llegó incompleto","✅ Recibido")),IF(C136="","🛒 Por pedir",IF(AND(N136&lt;&gt;"",TODAY()&gt;N(N136)),"🐢 Retrasado","📦 Pedido (esperando)")))))</f>
        <v/>
      </c>
      <c r="L136" s="94" t="str">
        <f aca="true">IF(OR(N136="",C136="",K136="",K136="✖️ Anulado"),"",IF(O136&lt;&gt;"",MAX(0,O136-N136),IF(TODAY()&gt;N136,TODAY()-N136,"")))</f>
        <v/>
      </c>
      <c r="M136" s="87"/>
      <c r="N136" s="95" t="str">
        <f aca="false">IF(M136&lt;&gt;"",M136,IF(OR(C136="",D136=""),"",IFERROR(IF(INDEX(Listas!$E$5:$E$60,MATCH(D136,Listas!$B$5:$B$60,0))="","",C136+INDEX(Listas!$E$5:$E$60,MATCH(D136,Listas!$B$5:$B$60,0))),"")))</f>
        <v/>
      </c>
      <c r="O136" s="87"/>
      <c r="P136" s="90"/>
      <c r="Q136" s="96"/>
      <c r="R136" s="89"/>
      <c r="S136" s="94" t="str">
        <f aca="false">IF(OR(C136="",O136="",K136="✖️ Anulado"),"",O136-C136)</f>
        <v/>
      </c>
      <c r="T136" s="87"/>
      <c r="U136" s="92" t="str">
        <f aca="false">IF(OR(O136="",K136="✖️ Anulado",AND(T136&lt;&gt;"",T136&lt;&gt;"No")),"",N(H136)*IF(P136="",N(G136),N(P136)))</f>
        <v/>
      </c>
      <c r="V136" s="96"/>
      <c r="W136" s="89"/>
    </row>
    <row r="137" customFormat="false" ht="21" hidden="false" customHeight="true" outlineLevel="0" collapsed="false">
      <c r="A137" s="74" t="n">
        <v>133</v>
      </c>
      <c r="B137" s="86"/>
      <c r="C137" s="87"/>
      <c r="D137" s="88"/>
      <c r="E137" s="89"/>
      <c r="F137" s="89"/>
      <c r="G137" s="90"/>
      <c r="H137" s="91"/>
      <c r="I137" s="92" t="str">
        <f aca="false">IF(OR(G137="",H137=""),"",G137*H137)</f>
        <v/>
      </c>
      <c r="J137" s="89"/>
      <c r="K137" s="93" t="str">
        <f aca="true">IF(AND(F137="",D137=""),"",IF(V137="Sí","✖️ Anulado",IF(O137&lt;&gt;"",IF(OR(Q137="Con incidencia",R137&lt;&gt;""),"⚠️ Llegó con incidencia",IF(AND(P137&lt;&gt;"",N(P137)&lt;N(G137)),"🧩 Llegó incompleto","✅ Recibido")),IF(C137="","🛒 Por pedir",IF(AND(N137&lt;&gt;"",TODAY()&gt;N(N137)),"🐢 Retrasado","📦 Pedido (esperando)")))))</f>
        <v/>
      </c>
      <c r="L137" s="94" t="str">
        <f aca="true">IF(OR(N137="",C137="",K137="",K137="✖️ Anulado"),"",IF(O137&lt;&gt;"",MAX(0,O137-N137),IF(TODAY()&gt;N137,TODAY()-N137,"")))</f>
        <v/>
      </c>
      <c r="M137" s="87"/>
      <c r="N137" s="95" t="str">
        <f aca="false">IF(M137&lt;&gt;"",M137,IF(OR(C137="",D137=""),"",IFERROR(IF(INDEX(Listas!$E$5:$E$60,MATCH(D137,Listas!$B$5:$B$60,0))="","",C137+INDEX(Listas!$E$5:$E$60,MATCH(D137,Listas!$B$5:$B$60,0))),"")))</f>
        <v/>
      </c>
      <c r="O137" s="87"/>
      <c r="P137" s="90"/>
      <c r="Q137" s="96"/>
      <c r="R137" s="89"/>
      <c r="S137" s="94" t="str">
        <f aca="false">IF(OR(C137="",O137="",K137="✖️ Anulado"),"",O137-C137)</f>
        <v/>
      </c>
      <c r="T137" s="87"/>
      <c r="U137" s="92" t="str">
        <f aca="false">IF(OR(O137="",K137="✖️ Anulado",AND(T137&lt;&gt;"",T137&lt;&gt;"No")),"",N(H137)*IF(P137="",N(G137),N(P137)))</f>
        <v/>
      </c>
      <c r="V137" s="96"/>
      <c r="W137" s="89"/>
    </row>
    <row r="138" customFormat="false" ht="21" hidden="false" customHeight="true" outlineLevel="0" collapsed="false">
      <c r="A138" s="74" t="n">
        <v>134</v>
      </c>
      <c r="B138" s="86"/>
      <c r="C138" s="87"/>
      <c r="D138" s="88"/>
      <c r="E138" s="89"/>
      <c r="F138" s="89"/>
      <c r="G138" s="90"/>
      <c r="H138" s="91"/>
      <c r="I138" s="92" t="str">
        <f aca="false">IF(OR(G138="",H138=""),"",G138*H138)</f>
        <v/>
      </c>
      <c r="J138" s="89"/>
      <c r="K138" s="93" t="str">
        <f aca="true">IF(AND(F138="",D138=""),"",IF(V138="Sí","✖️ Anulado",IF(O138&lt;&gt;"",IF(OR(Q138="Con incidencia",R138&lt;&gt;""),"⚠️ Llegó con incidencia",IF(AND(P138&lt;&gt;"",N(P138)&lt;N(G138)),"🧩 Llegó incompleto","✅ Recibido")),IF(C138="","🛒 Por pedir",IF(AND(N138&lt;&gt;"",TODAY()&gt;N(N138)),"🐢 Retrasado","📦 Pedido (esperando)")))))</f>
        <v/>
      </c>
      <c r="L138" s="94" t="str">
        <f aca="true">IF(OR(N138="",C138="",K138="",K138="✖️ Anulado"),"",IF(O138&lt;&gt;"",MAX(0,O138-N138),IF(TODAY()&gt;N138,TODAY()-N138,"")))</f>
        <v/>
      </c>
      <c r="M138" s="87"/>
      <c r="N138" s="95" t="str">
        <f aca="false">IF(M138&lt;&gt;"",M138,IF(OR(C138="",D138=""),"",IFERROR(IF(INDEX(Listas!$E$5:$E$60,MATCH(D138,Listas!$B$5:$B$60,0))="","",C138+INDEX(Listas!$E$5:$E$60,MATCH(D138,Listas!$B$5:$B$60,0))),"")))</f>
        <v/>
      </c>
      <c r="O138" s="87"/>
      <c r="P138" s="90"/>
      <c r="Q138" s="96"/>
      <c r="R138" s="89"/>
      <c r="S138" s="94" t="str">
        <f aca="false">IF(OR(C138="",O138="",K138="✖️ Anulado"),"",O138-C138)</f>
        <v/>
      </c>
      <c r="T138" s="87"/>
      <c r="U138" s="92" t="str">
        <f aca="false">IF(OR(O138="",K138="✖️ Anulado",AND(T138&lt;&gt;"",T138&lt;&gt;"No")),"",N(H138)*IF(P138="",N(G138),N(P138)))</f>
        <v/>
      </c>
      <c r="V138" s="96"/>
      <c r="W138" s="89"/>
    </row>
    <row r="139" customFormat="false" ht="21" hidden="false" customHeight="true" outlineLevel="0" collapsed="false">
      <c r="A139" s="74" t="n">
        <v>135</v>
      </c>
      <c r="B139" s="86"/>
      <c r="C139" s="87"/>
      <c r="D139" s="88"/>
      <c r="E139" s="89"/>
      <c r="F139" s="89"/>
      <c r="G139" s="90"/>
      <c r="H139" s="91"/>
      <c r="I139" s="92" t="str">
        <f aca="false">IF(OR(G139="",H139=""),"",G139*H139)</f>
        <v/>
      </c>
      <c r="J139" s="89"/>
      <c r="K139" s="93" t="str">
        <f aca="true">IF(AND(F139="",D139=""),"",IF(V139="Sí","✖️ Anulado",IF(O139&lt;&gt;"",IF(OR(Q139="Con incidencia",R139&lt;&gt;""),"⚠️ Llegó con incidencia",IF(AND(P139&lt;&gt;"",N(P139)&lt;N(G139)),"🧩 Llegó incompleto","✅ Recibido")),IF(C139="","🛒 Por pedir",IF(AND(N139&lt;&gt;"",TODAY()&gt;N(N139)),"🐢 Retrasado","📦 Pedido (esperando)")))))</f>
        <v/>
      </c>
      <c r="L139" s="94" t="str">
        <f aca="true">IF(OR(N139="",C139="",K139="",K139="✖️ Anulado"),"",IF(O139&lt;&gt;"",MAX(0,O139-N139),IF(TODAY()&gt;N139,TODAY()-N139,"")))</f>
        <v/>
      </c>
      <c r="M139" s="87"/>
      <c r="N139" s="95" t="str">
        <f aca="false">IF(M139&lt;&gt;"",M139,IF(OR(C139="",D139=""),"",IFERROR(IF(INDEX(Listas!$E$5:$E$60,MATCH(D139,Listas!$B$5:$B$60,0))="","",C139+INDEX(Listas!$E$5:$E$60,MATCH(D139,Listas!$B$5:$B$60,0))),"")))</f>
        <v/>
      </c>
      <c r="O139" s="87"/>
      <c r="P139" s="90"/>
      <c r="Q139" s="96"/>
      <c r="R139" s="89"/>
      <c r="S139" s="94" t="str">
        <f aca="false">IF(OR(C139="",O139="",K139="✖️ Anulado"),"",O139-C139)</f>
        <v/>
      </c>
      <c r="T139" s="87"/>
      <c r="U139" s="92" t="str">
        <f aca="false">IF(OR(O139="",K139="✖️ Anulado",AND(T139&lt;&gt;"",T139&lt;&gt;"No")),"",N(H139)*IF(P139="",N(G139),N(P139)))</f>
        <v/>
      </c>
      <c r="V139" s="96"/>
      <c r="W139" s="89"/>
    </row>
    <row r="140" customFormat="false" ht="21" hidden="false" customHeight="true" outlineLevel="0" collapsed="false">
      <c r="A140" s="74" t="n">
        <v>136</v>
      </c>
      <c r="B140" s="86"/>
      <c r="C140" s="87"/>
      <c r="D140" s="88"/>
      <c r="E140" s="89"/>
      <c r="F140" s="89"/>
      <c r="G140" s="90"/>
      <c r="H140" s="91"/>
      <c r="I140" s="92" t="str">
        <f aca="false">IF(OR(G140="",H140=""),"",G140*H140)</f>
        <v/>
      </c>
      <c r="J140" s="89"/>
      <c r="K140" s="93" t="str">
        <f aca="true">IF(AND(F140="",D140=""),"",IF(V140="Sí","✖️ Anulado",IF(O140&lt;&gt;"",IF(OR(Q140="Con incidencia",R140&lt;&gt;""),"⚠️ Llegó con incidencia",IF(AND(P140&lt;&gt;"",N(P140)&lt;N(G140)),"🧩 Llegó incompleto","✅ Recibido")),IF(C140="","🛒 Por pedir",IF(AND(N140&lt;&gt;"",TODAY()&gt;N(N140)),"🐢 Retrasado","📦 Pedido (esperando)")))))</f>
        <v/>
      </c>
      <c r="L140" s="94" t="str">
        <f aca="true">IF(OR(N140="",C140="",K140="",K140="✖️ Anulado"),"",IF(O140&lt;&gt;"",MAX(0,O140-N140),IF(TODAY()&gt;N140,TODAY()-N140,"")))</f>
        <v/>
      </c>
      <c r="M140" s="87"/>
      <c r="N140" s="95" t="str">
        <f aca="false">IF(M140&lt;&gt;"",M140,IF(OR(C140="",D140=""),"",IFERROR(IF(INDEX(Listas!$E$5:$E$60,MATCH(D140,Listas!$B$5:$B$60,0))="","",C140+INDEX(Listas!$E$5:$E$60,MATCH(D140,Listas!$B$5:$B$60,0))),"")))</f>
        <v/>
      </c>
      <c r="O140" s="87"/>
      <c r="P140" s="90"/>
      <c r="Q140" s="96"/>
      <c r="R140" s="89"/>
      <c r="S140" s="94" t="str">
        <f aca="false">IF(OR(C140="",O140="",K140="✖️ Anulado"),"",O140-C140)</f>
        <v/>
      </c>
      <c r="T140" s="87"/>
      <c r="U140" s="92" t="str">
        <f aca="false">IF(OR(O140="",K140="✖️ Anulado",AND(T140&lt;&gt;"",T140&lt;&gt;"No")),"",N(H140)*IF(P140="",N(G140),N(P140)))</f>
        <v/>
      </c>
      <c r="V140" s="96"/>
      <c r="W140" s="89"/>
    </row>
    <row r="141" customFormat="false" ht="21" hidden="false" customHeight="true" outlineLevel="0" collapsed="false">
      <c r="A141" s="74" t="n">
        <v>137</v>
      </c>
      <c r="B141" s="86"/>
      <c r="C141" s="87"/>
      <c r="D141" s="88"/>
      <c r="E141" s="89"/>
      <c r="F141" s="89"/>
      <c r="G141" s="90"/>
      <c r="H141" s="91"/>
      <c r="I141" s="92" t="str">
        <f aca="false">IF(OR(G141="",H141=""),"",G141*H141)</f>
        <v/>
      </c>
      <c r="J141" s="89"/>
      <c r="K141" s="93" t="str">
        <f aca="true">IF(AND(F141="",D141=""),"",IF(V141="Sí","✖️ Anulado",IF(O141&lt;&gt;"",IF(OR(Q141="Con incidencia",R141&lt;&gt;""),"⚠️ Llegó con incidencia",IF(AND(P141&lt;&gt;"",N(P141)&lt;N(G141)),"🧩 Llegó incompleto","✅ Recibido")),IF(C141="","🛒 Por pedir",IF(AND(N141&lt;&gt;"",TODAY()&gt;N(N141)),"🐢 Retrasado","📦 Pedido (esperando)")))))</f>
        <v/>
      </c>
      <c r="L141" s="94" t="str">
        <f aca="true">IF(OR(N141="",C141="",K141="",K141="✖️ Anulado"),"",IF(O141&lt;&gt;"",MAX(0,O141-N141),IF(TODAY()&gt;N141,TODAY()-N141,"")))</f>
        <v/>
      </c>
      <c r="M141" s="87"/>
      <c r="N141" s="95" t="str">
        <f aca="false">IF(M141&lt;&gt;"",M141,IF(OR(C141="",D141=""),"",IFERROR(IF(INDEX(Listas!$E$5:$E$60,MATCH(D141,Listas!$B$5:$B$60,0))="","",C141+INDEX(Listas!$E$5:$E$60,MATCH(D141,Listas!$B$5:$B$60,0))),"")))</f>
        <v/>
      </c>
      <c r="O141" s="87"/>
      <c r="P141" s="90"/>
      <c r="Q141" s="96"/>
      <c r="R141" s="89"/>
      <c r="S141" s="94" t="str">
        <f aca="false">IF(OR(C141="",O141="",K141="✖️ Anulado"),"",O141-C141)</f>
        <v/>
      </c>
      <c r="T141" s="87"/>
      <c r="U141" s="92" t="str">
        <f aca="false">IF(OR(O141="",K141="✖️ Anulado",AND(T141&lt;&gt;"",T141&lt;&gt;"No")),"",N(H141)*IF(P141="",N(G141),N(P141)))</f>
        <v/>
      </c>
      <c r="V141" s="96"/>
      <c r="W141" s="89"/>
    </row>
    <row r="142" customFormat="false" ht="21" hidden="false" customHeight="true" outlineLevel="0" collapsed="false">
      <c r="A142" s="74" t="n">
        <v>138</v>
      </c>
      <c r="B142" s="86"/>
      <c r="C142" s="87"/>
      <c r="D142" s="88"/>
      <c r="E142" s="89"/>
      <c r="F142" s="89"/>
      <c r="G142" s="90"/>
      <c r="H142" s="91"/>
      <c r="I142" s="92" t="str">
        <f aca="false">IF(OR(G142="",H142=""),"",G142*H142)</f>
        <v/>
      </c>
      <c r="J142" s="89"/>
      <c r="K142" s="93" t="str">
        <f aca="true">IF(AND(F142="",D142=""),"",IF(V142="Sí","✖️ Anulado",IF(O142&lt;&gt;"",IF(OR(Q142="Con incidencia",R142&lt;&gt;""),"⚠️ Llegó con incidencia",IF(AND(P142&lt;&gt;"",N(P142)&lt;N(G142)),"🧩 Llegó incompleto","✅ Recibido")),IF(C142="","🛒 Por pedir",IF(AND(N142&lt;&gt;"",TODAY()&gt;N(N142)),"🐢 Retrasado","📦 Pedido (esperando)")))))</f>
        <v/>
      </c>
      <c r="L142" s="94" t="str">
        <f aca="true">IF(OR(N142="",C142="",K142="",K142="✖️ Anulado"),"",IF(O142&lt;&gt;"",MAX(0,O142-N142),IF(TODAY()&gt;N142,TODAY()-N142,"")))</f>
        <v/>
      </c>
      <c r="M142" s="87"/>
      <c r="N142" s="95" t="str">
        <f aca="false">IF(M142&lt;&gt;"",M142,IF(OR(C142="",D142=""),"",IFERROR(IF(INDEX(Listas!$E$5:$E$60,MATCH(D142,Listas!$B$5:$B$60,0))="","",C142+INDEX(Listas!$E$5:$E$60,MATCH(D142,Listas!$B$5:$B$60,0))),"")))</f>
        <v/>
      </c>
      <c r="O142" s="87"/>
      <c r="P142" s="90"/>
      <c r="Q142" s="96"/>
      <c r="R142" s="89"/>
      <c r="S142" s="94" t="str">
        <f aca="false">IF(OR(C142="",O142="",K142="✖️ Anulado"),"",O142-C142)</f>
        <v/>
      </c>
      <c r="T142" s="87"/>
      <c r="U142" s="92" t="str">
        <f aca="false">IF(OR(O142="",K142="✖️ Anulado",AND(T142&lt;&gt;"",T142&lt;&gt;"No")),"",N(H142)*IF(P142="",N(G142),N(P142)))</f>
        <v/>
      </c>
      <c r="V142" s="96"/>
      <c r="W142" s="89"/>
    </row>
    <row r="143" customFormat="false" ht="21" hidden="false" customHeight="true" outlineLevel="0" collapsed="false">
      <c r="A143" s="74" t="n">
        <v>139</v>
      </c>
      <c r="B143" s="86"/>
      <c r="C143" s="87"/>
      <c r="D143" s="88"/>
      <c r="E143" s="89"/>
      <c r="F143" s="89"/>
      <c r="G143" s="90"/>
      <c r="H143" s="91"/>
      <c r="I143" s="92" t="str">
        <f aca="false">IF(OR(G143="",H143=""),"",G143*H143)</f>
        <v/>
      </c>
      <c r="J143" s="89"/>
      <c r="K143" s="93" t="str">
        <f aca="true">IF(AND(F143="",D143=""),"",IF(V143="Sí","✖️ Anulado",IF(O143&lt;&gt;"",IF(OR(Q143="Con incidencia",R143&lt;&gt;""),"⚠️ Llegó con incidencia",IF(AND(P143&lt;&gt;"",N(P143)&lt;N(G143)),"🧩 Llegó incompleto","✅ Recibido")),IF(C143="","🛒 Por pedir",IF(AND(N143&lt;&gt;"",TODAY()&gt;N(N143)),"🐢 Retrasado","📦 Pedido (esperando)")))))</f>
        <v/>
      </c>
      <c r="L143" s="94" t="str">
        <f aca="true">IF(OR(N143="",C143="",K143="",K143="✖️ Anulado"),"",IF(O143&lt;&gt;"",MAX(0,O143-N143),IF(TODAY()&gt;N143,TODAY()-N143,"")))</f>
        <v/>
      </c>
      <c r="M143" s="87"/>
      <c r="N143" s="95" t="str">
        <f aca="false">IF(M143&lt;&gt;"",M143,IF(OR(C143="",D143=""),"",IFERROR(IF(INDEX(Listas!$E$5:$E$60,MATCH(D143,Listas!$B$5:$B$60,0))="","",C143+INDEX(Listas!$E$5:$E$60,MATCH(D143,Listas!$B$5:$B$60,0))),"")))</f>
        <v/>
      </c>
      <c r="O143" s="87"/>
      <c r="P143" s="90"/>
      <c r="Q143" s="96"/>
      <c r="R143" s="89"/>
      <c r="S143" s="94" t="str">
        <f aca="false">IF(OR(C143="",O143="",K143="✖️ Anulado"),"",O143-C143)</f>
        <v/>
      </c>
      <c r="T143" s="87"/>
      <c r="U143" s="92" t="str">
        <f aca="false">IF(OR(O143="",K143="✖️ Anulado",AND(T143&lt;&gt;"",T143&lt;&gt;"No")),"",N(H143)*IF(P143="",N(G143),N(P143)))</f>
        <v/>
      </c>
      <c r="V143" s="96"/>
      <c r="W143" s="89"/>
    </row>
    <row r="144" customFormat="false" ht="21" hidden="false" customHeight="true" outlineLevel="0" collapsed="false">
      <c r="A144" s="74" t="n">
        <v>140</v>
      </c>
      <c r="B144" s="86"/>
      <c r="C144" s="87"/>
      <c r="D144" s="88"/>
      <c r="E144" s="89"/>
      <c r="F144" s="89"/>
      <c r="G144" s="90"/>
      <c r="H144" s="91"/>
      <c r="I144" s="92" t="str">
        <f aca="false">IF(OR(G144="",H144=""),"",G144*H144)</f>
        <v/>
      </c>
      <c r="J144" s="89"/>
      <c r="K144" s="93" t="str">
        <f aca="true">IF(AND(F144="",D144=""),"",IF(V144="Sí","✖️ Anulado",IF(O144&lt;&gt;"",IF(OR(Q144="Con incidencia",R144&lt;&gt;""),"⚠️ Llegó con incidencia",IF(AND(P144&lt;&gt;"",N(P144)&lt;N(G144)),"🧩 Llegó incompleto","✅ Recibido")),IF(C144="","🛒 Por pedir",IF(AND(N144&lt;&gt;"",TODAY()&gt;N(N144)),"🐢 Retrasado","📦 Pedido (esperando)")))))</f>
        <v/>
      </c>
      <c r="L144" s="94" t="str">
        <f aca="true">IF(OR(N144="",C144="",K144="",K144="✖️ Anulado"),"",IF(O144&lt;&gt;"",MAX(0,O144-N144),IF(TODAY()&gt;N144,TODAY()-N144,"")))</f>
        <v/>
      </c>
      <c r="M144" s="87"/>
      <c r="N144" s="95" t="str">
        <f aca="false">IF(M144&lt;&gt;"",M144,IF(OR(C144="",D144=""),"",IFERROR(IF(INDEX(Listas!$E$5:$E$60,MATCH(D144,Listas!$B$5:$B$60,0))="","",C144+INDEX(Listas!$E$5:$E$60,MATCH(D144,Listas!$B$5:$B$60,0))),"")))</f>
        <v/>
      </c>
      <c r="O144" s="87"/>
      <c r="P144" s="90"/>
      <c r="Q144" s="96"/>
      <c r="R144" s="89"/>
      <c r="S144" s="94" t="str">
        <f aca="false">IF(OR(C144="",O144="",K144="✖️ Anulado"),"",O144-C144)</f>
        <v/>
      </c>
      <c r="T144" s="87"/>
      <c r="U144" s="92" t="str">
        <f aca="false">IF(OR(O144="",K144="✖️ Anulado",AND(T144&lt;&gt;"",T144&lt;&gt;"No")),"",N(H144)*IF(P144="",N(G144),N(P144)))</f>
        <v/>
      </c>
      <c r="V144" s="96"/>
      <c r="W144" s="89"/>
    </row>
    <row r="145" customFormat="false" ht="21" hidden="false" customHeight="true" outlineLevel="0" collapsed="false">
      <c r="A145" s="74" t="n">
        <v>141</v>
      </c>
      <c r="B145" s="86"/>
      <c r="C145" s="87"/>
      <c r="D145" s="88"/>
      <c r="E145" s="89"/>
      <c r="F145" s="89"/>
      <c r="G145" s="90"/>
      <c r="H145" s="91"/>
      <c r="I145" s="92" t="str">
        <f aca="false">IF(OR(G145="",H145=""),"",G145*H145)</f>
        <v/>
      </c>
      <c r="J145" s="89"/>
      <c r="K145" s="93" t="str">
        <f aca="true">IF(AND(F145="",D145=""),"",IF(V145="Sí","✖️ Anulado",IF(O145&lt;&gt;"",IF(OR(Q145="Con incidencia",R145&lt;&gt;""),"⚠️ Llegó con incidencia",IF(AND(P145&lt;&gt;"",N(P145)&lt;N(G145)),"🧩 Llegó incompleto","✅ Recibido")),IF(C145="","🛒 Por pedir",IF(AND(N145&lt;&gt;"",TODAY()&gt;N(N145)),"🐢 Retrasado","📦 Pedido (esperando)")))))</f>
        <v/>
      </c>
      <c r="L145" s="94" t="str">
        <f aca="true">IF(OR(N145="",C145="",K145="",K145="✖️ Anulado"),"",IF(O145&lt;&gt;"",MAX(0,O145-N145),IF(TODAY()&gt;N145,TODAY()-N145,"")))</f>
        <v/>
      </c>
      <c r="M145" s="87"/>
      <c r="N145" s="95" t="str">
        <f aca="false">IF(M145&lt;&gt;"",M145,IF(OR(C145="",D145=""),"",IFERROR(IF(INDEX(Listas!$E$5:$E$60,MATCH(D145,Listas!$B$5:$B$60,0))="","",C145+INDEX(Listas!$E$5:$E$60,MATCH(D145,Listas!$B$5:$B$60,0))),"")))</f>
        <v/>
      </c>
      <c r="O145" s="87"/>
      <c r="P145" s="90"/>
      <c r="Q145" s="96"/>
      <c r="R145" s="89"/>
      <c r="S145" s="94" t="str">
        <f aca="false">IF(OR(C145="",O145="",K145="✖️ Anulado"),"",O145-C145)</f>
        <v/>
      </c>
      <c r="T145" s="87"/>
      <c r="U145" s="92" t="str">
        <f aca="false">IF(OR(O145="",K145="✖️ Anulado",AND(T145&lt;&gt;"",T145&lt;&gt;"No")),"",N(H145)*IF(P145="",N(G145),N(P145)))</f>
        <v/>
      </c>
      <c r="V145" s="96"/>
      <c r="W145" s="89"/>
    </row>
    <row r="146" customFormat="false" ht="21" hidden="false" customHeight="true" outlineLevel="0" collapsed="false">
      <c r="A146" s="74" t="n">
        <v>142</v>
      </c>
      <c r="B146" s="86"/>
      <c r="C146" s="87"/>
      <c r="D146" s="88"/>
      <c r="E146" s="89"/>
      <c r="F146" s="89"/>
      <c r="G146" s="90"/>
      <c r="H146" s="91"/>
      <c r="I146" s="92" t="str">
        <f aca="false">IF(OR(G146="",H146=""),"",G146*H146)</f>
        <v/>
      </c>
      <c r="J146" s="89"/>
      <c r="K146" s="93" t="str">
        <f aca="true">IF(AND(F146="",D146=""),"",IF(V146="Sí","✖️ Anulado",IF(O146&lt;&gt;"",IF(OR(Q146="Con incidencia",R146&lt;&gt;""),"⚠️ Llegó con incidencia",IF(AND(P146&lt;&gt;"",N(P146)&lt;N(G146)),"🧩 Llegó incompleto","✅ Recibido")),IF(C146="","🛒 Por pedir",IF(AND(N146&lt;&gt;"",TODAY()&gt;N(N146)),"🐢 Retrasado","📦 Pedido (esperando)")))))</f>
        <v/>
      </c>
      <c r="L146" s="94" t="str">
        <f aca="true">IF(OR(N146="",C146="",K146="",K146="✖️ Anulado"),"",IF(O146&lt;&gt;"",MAX(0,O146-N146),IF(TODAY()&gt;N146,TODAY()-N146,"")))</f>
        <v/>
      </c>
      <c r="M146" s="87"/>
      <c r="N146" s="95" t="str">
        <f aca="false">IF(M146&lt;&gt;"",M146,IF(OR(C146="",D146=""),"",IFERROR(IF(INDEX(Listas!$E$5:$E$60,MATCH(D146,Listas!$B$5:$B$60,0))="","",C146+INDEX(Listas!$E$5:$E$60,MATCH(D146,Listas!$B$5:$B$60,0))),"")))</f>
        <v/>
      </c>
      <c r="O146" s="87"/>
      <c r="P146" s="90"/>
      <c r="Q146" s="96"/>
      <c r="R146" s="89"/>
      <c r="S146" s="94" t="str">
        <f aca="false">IF(OR(C146="",O146="",K146="✖️ Anulado"),"",O146-C146)</f>
        <v/>
      </c>
      <c r="T146" s="87"/>
      <c r="U146" s="92" t="str">
        <f aca="false">IF(OR(O146="",K146="✖️ Anulado",AND(T146&lt;&gt;"",T146&lt;&gt;"No")),"",N(H146)*IF(P146="",N(G146),N(P146)))</f>
        <v/>
      </c>
      <c r="V146" s="96"/>
      <c r="W146" s="89"/>
    </row>
    <row r="147" customFormat="false" ht="21" hidden="false" customHeight="true" outlineLevel="0" collapsed="false">
      <c r="A147" s="74" t="n">
        <v>143</v>
      </c>
      <c r="B147" s="86"/>
      <c r="C147" s="87"/>
      <c r="D147" s="88"/>
      <c r="E147" s="89"/>
      <c r="F147" s="89"/>
      <c r="G147" s="90"/>
      <c r="H147" s="91"/>
      <c r="I147" s="92" t="str">
        <f aca="false">IF(OR(G147="",H147=""),"",G147*H147)</f>
        <v/>
      </c>
      <c r="J147" s="89"/>
      <c r="K147" s="93" t="str">
        <f aca="true">IF(AND(F147="",D147=""),"",IF(V147="Sí","✖️ Anulado",IF(O147&lt;&gt;"",IF(OR(Q147="Con incidencia",R147&lt;&gt;""),"⚠️ Llegó con incidencia",IF(AND(P147&lt;&gt;"",N(P147)&lt;N(G147)),"🧩 Llegó incompleto","✅ Recibido")),IF(C147="","🛒 Por pedir",IF(AND(N147&lt;&gt;"",TODAY()&gt;N(N147)),"🐢 Retrasado","📦 Pedido (esperando)")))))</f>
        <v/>
      </c>
      <c r="L147" s="94" t="str">
        <f aca="true">IF(OR(N147="",C147="",K147="",K147="✖️ Anulado"),"",IF(O147&lt;&gt;"",MAX(0,O147-N147),IF(TODAY()&gt;N147,TODAY()-N147,"")))</f>
        <v/>
      </c>
      <c r="M147" s="87"/>
      <c r="N147" s="95" t="str">
        <f aca="false">IF(M147&lt;&gt;"",M147,IF(OR(C147="",D147=""),"",IFERROR(IF(INDEX(Listas!$E$5:$E$60,MATCH(D147,Listas!$B$5:$B$60,0))="","",C147+INDEX(Listas!$E$5:$E$60,MATCH(D147,Listas!$B$5:$B$60,0))),"")))</f>
        <v/>
      </c>
      <c r="O147" s="87"/>
      <c r="P147" s="90"/>
      <c r="Q147" s="96"/>
      <c r="R147" s="89"/>
      <c r="S147" s="94" t="str">
        <f aca="false">IF(OR(C147="",O147="",K147="✖️ Anulado"),"",O147-C147)</f>
        <v/>
      </c>
      <c r="T147" s="87"/>
      <c r="U147" s="92" t="str">
        <f aca="false">IF(OR(O147="",K147="✖️ Anulado",AND(T147&lt;&gt;"",T147&lt;&gt;"No")),"",N(H147)*IF(P147="",N(G147),N(P147)))</f>
        <v/>
      </c>
      <c r="V147" s="96"/>
      <c r="W147" s="89"/>
    </row>
    <row r="148" customFormat="false" ht="21" hidden="false" customHeight="true" outlineLevel="0" collapsed="false">
      <c r="A148" s="74" t="n">
        <v>144</v>
      </c>
      <c r="B148" s="86"/>
      <c r="C148" s="87"/>
      <c r="D148" s="88"/>
      <c r="E148" s="89"/>
      <c r="F148" s="89"/>
      <c r="G148" s="90"/>
      <c r="H148" s="91"/>
      <c r="I148" s="92" t="str">
        <f aca="false">IF(OR(G148="",H148=""),"",G148*H148)</f>
        <v/>
      </c>
      <c r="J148" s="89"/>
      <c r="K148" s="93" t="str">
        <f aca="true">IF(AND(F148="",D148=""),"",IF(V148="Sí","✖️ Anulado",IF(O148&lt;&gt;"",IF(OR(Q148="Con incidencia",R148&lt;&gt;""),"⚠️ Llegó con incidencia",IF(AND(P148&lt;&gt;"",N(P148)&lt;N(G148)),"🧩 Llegó incompleto","✅ Recibido")),IF(C148="","🛒 Por pedir",IF(AND(N148&lt;&gt;"",TODAY()&gt;N(N148)),"🐢 Retrasado","📦 Pedido (esperando)")))))</f>
        <v/>
      </c>
      <c r="L148" s="94" t="str">
        <f aca="true">IF(OR(N148="",C148="",K148="",K148="✖️ Anulado"),"",IF(O148&lt;&gt;"",MAX(0,O148-N148),IF(TODAY()&gt;N148,TODAY()-N148,"")))</f>
        <v/>
      </c>
      <c r="M148" s="87"/>
      <c r="N148" s="95" t="str">
        <f aca="false">IF(M148&lt;&gt;"",M148,IF(OR(C148="",D148=""),"",IFERROR(IF(INDEX(Listas!$E$5:$E$60,MATCH(D148,Listas!$B$5:$B$60,0))="","",C148+INDEX(Listas!$E$5:$E$60,MATCH(D148,Listas!$B$5:$B$60,0))),"")))</f>
        <v/>
      </c>
      <c r="O148" s="87"/>
      <c r="P148" s="90"/>
      <c r="Q148" s="96"/>
      <c r="R148" s="89"/>
      <c r="S148" s="94" t="str">
        <f aca="false">IF(OR(C148="",O148="",K148="✖️ Anulado"),"",O148-C148)</f>
        <v/>
      </c>
      <c r="T148" s="87"/>
      <c r="U148" s="92" t="str">
        <f aca="false">IF(OR(O148="",K148="✖️ Anulado",AND(T148&lt;&gt;"",T148&lt;&gt;"No")),"",N(H148)*IF(P148="",N(G148),N(P148)))</f>
        <v/>
      </c>
      <c r="V148" s="96"/>
      <c r="W148" s="89"/>
    </row>
    <row r="149" customFormat="false" ht="21" hidden="false" customHeight="true" outlineLevel="0" collapsed="false">
      <c r="A149" s="74" t="n">
        <v>145</v>
      </c>
      <c r="B149" s="86"/>
      <c r="C149" s="87"/>
      <c r="D149" s="88"/>
      <c r="E149" s="89"/>
      <c r="F149" s="89"/>
      <c r="G149" s="90"/>
      <c r="H149" s="91"/>
      <c r="I149" s="92" t="str">
        <f aca="false">IF(OR(G149="",H149=""),"",G149*H149)</f>
        <v/>
      </c>
      <c r="J149" s="89"/>
      <c r="K149" s="93" t="str">
        <f aca="true">IF(AND(F149="",D149=""),"",IF(V149="Sí","✖️ Anulado",IF(O149&lt;&gt;"",IF(OR(Q149="Con incidencia",R149&lt;&gt;""),"⚠️ Llegó con incidencia",IF(AND(P149&lt;&gt;"",N(P149)&lt;N(G149)),"🧩 Llegó incompleto","✅ Recibido")),IF(C149="","🛒 Por pedir",IF(AND(N149&lt;&gt;"",TODAY()&gt;N(N149)),"🐢 Retrasado","📦 Pedido (esperando)")))))</f>
        <v/>
      </c>
      <c r="L149" s="94" t="str">
        <f aca="true">IF(OR(N149="",C149="",K149="",K149="✖️ Anulado"),"",IF(O149&lt;&gt;"",MAX(0,O149-N149),IF(TODAY()&gt;N149,TODAY()-N149,"")))</f>
        <v/>
      </c>
      <c r="M149" s="87"/>
      <c r="N149" s="95" t="str">
        <f aca="false">IF(M149&lt;&gt;"",M149,IF(OR(C149="",D149=""),"",IFERROR(IF(INDEX(Listas!$E$5:$E$60,MATCH(D149,Listas!$B$5:$B$60,0))="","",C149+INDEX(Listas!$E$5:$E$60,MATCH(D149,Listas!$B$5:$B$60,0))),"")))</f>
        <v/>
      </c>
      <c r="O149" s="87"/>
      <c r="P149" s="90"/>
      <c r="Q149" s="96"/>
      <c r="R149" s="89"/>
      <c r="S149" s="94" t="str">
        <f aca="false">IF(OR(C149="",O149="",K149="✖️ Anulado"),"",O149-C149)</f>
        <v/>
      </c>
      <c r="T149" s="87"/>
      <c r="U149" s="92" t="str">
        <f aca="false">IF(OR(O149="",K149="✖️ Anulado",AND(T149&lt;&gt;"",T149&lt;&gt;"No")),"",N(H149)*IF(P149="",N(G149),N(P149)))</f>
        <v/>
      </c>
      <c r="V149" s="96"/>
      <c r="W149" s="89"/>
    </row>
    <row r="150" customFormat="false" ht="21" hidden="false" customHeight="true" outlineLevel="0" collapsed="false">
      <c r="A150" s="74" t="n">
        <v>146</v>
      </c>
      <c r="B150" s="86"/>
      <c r="C150" s="87"/>
      <c r="D150" s="88"/>
      <c r="E150" s="89"/>
      <c r="F150" s="89"/>
      <c r="G150" s="90"/>
      <c r="H150" s="91"/>
      <c r="I150" s="92" t="str">
        <f aca="false">IF(OR(G150="",H150=""),"",G150*H150)</f>
        <v/>
      </c>
      <c r="J150" s="89"/>
      <c r="K150" s="93" t="str">
        <f aca="true">IF(AND(F150="",D150=""),"",IF(V150="Sí","✖️ Anulado",IF(O150&lt;&gt;"",IF(OR(Q150="Con incidencia",R150&lt;&gt;""),"⚠️ Llegó con incidencia",IF(AND(P150&lt;&gt;"",N(P150)&lt;N(G150)),"🧩 Llegó incompleto","✅ Recibido")),IF(C150="","🛒 Por pedir",IF(AND(N150&lt;&gt;"",TODAY()&gt;N(N150)),"🐢 Retrasado","📦 Pedido (esperando)")))))</f>
        <v/>
      </c>
      <c r="L150" s="94" t="str">
        <f aca="true">IF(OR(N150="",C150="",K150="",K150="✖️ Anulado"),"",IF(O150&lt;&gt;"",MAX(0,O150-N150),IF(TODAY()&gt;N150,TODAY()-N150,"")))</f>
        <v/>
      </c>
      <c r="M150" s="87"/>
      <c r="N150" s="95" t="str">
        <f aca="false">IF(M150&lt;&gt;"",M150,IF(OR(C150="",D150=""),"",IFERROR(IF(INDEX(Listas!$E$5:$E$60,MATCH(D150,Listas!$B$5:$B$60,0))="","",C150+INDEX(Listas!$E$5:$E$60,MATCH(D150,Listas!$B$5:$B$60,0))),"")))</f>
        <v/>
      </c>
      <c r="O150" s="87"/>
      <c r="P150" s="90"/>
      <c r="Q150" s="96"/>
      <c r="R150" s="89"/>
      <c r="S150" s="94" t="str">
        <f aca="false">IF(OR(C150="",O150="",K150="✖️ Anulado"),"",O150-C150)</f>
        <v/>
      </c>
      <c r="T150" s="87"/>
      <c r="U150" s="92" t="str">
        <f aca="false">IF(OR(O150="",K150="✖️ Anulado",AND(T150&lt;&gt;"",T150&lt;&gt;"No")),"",N(H150)*IF(P150="",N(G150),N(P150)))</f>
        <v/>
      </c>
      <c r="V150" s="96"/>
      <c r="W150" s="89"/>
    </row>
    <row r="151" customFormat="false" ht="21" hidden="false" customHeight="true" outlineLevel="0" collapsed="false">
      <c r="A151" s="74" t="n">
        <v>147</v>
      </c>
      <c r="B151" s="86"/>
      <c r="C151" s="87"/>
      <c r="D151" s="88"/>
      <c r="E151" s="89"/>
      <c r="F151" s="89"/>
      <c r="G151" s="90"/>
      <c r="H151" s="91"/>
      <c r="I151" s="92" t="str">
        <f aca="false">IF(OR(G151="",H151=""),"",G151*H151)</f>
        <v/>
      </c>
      <c r="J151" s="89"/>
      <c r="K151" s="93" t="str">
        <f aca="true">IF(AND(F151="",D151=""),"",IF(V151="Sí","✖️ Anulado",IF(O151&lt;&gt;"",IF(OR(Q151="Con incidencia",R151&lt;&gt;""),"⚠️ Llegó con incidencia",IF(AND(P151&lt;&gt;"",N(P151)&lt;N(G151)),"🧩 Llegó incompleto","✅ Recibido")),IF(C151="","🛒 Por pedir",IF(AND(N151&lt;&gt;"",TODAY()&gt;N(N151)),"🐢 Retrasado","📦 Pedido (esperando)")))))</f>
        <v/>
      </c>
      <c r="L151" s="94" t="str">
        <f aca="true">IF(OR(N151="",C151="",K151="",K151="✖️ Anulado"),"",IF(O151&lt;&gt;"",MAX(0,O151-N151),IF(TODAY()&gt;N151,TODAY()-N151,"")))</f>
        <v/>
      </c>
      <c r="M151" s="87"/>
      <c r="N151" s="95" t="str">
        <f aca="false">IF(M151&lt;&gt;"",M151,IF(OR(C151="",D151=""),"",IFERROR(IF(INDEX(Listas!$E$5:$E$60,MATCH(D151,Listas!$B$5:$B$60,0))="","",C151+INDEX(Listas!$E$5:$E$60,MATCH(D151,Listas!$B$5:$B$60,0))),"")))</f>
        <v/>
      </c>
      <c r="O151" s="87"/>
      <c r="P151" s="90"/>
      <c r="Q151" s="96"/>
      <c r="R151" s="89"/>
      <c r="S151" s="94" t="str">
        <f aca="false">IF(OR(C151="",O151="",K151="✖️ Anulado"),"",O151-C151)</f>
        <v/>
      </c>
      <c r="T151" s="87"/>
      <c r="U151" s="92" t="str">
        <f aca="false">IF(OR(O151="",K151="✖️ Anulado",AND(T151&lt;&gt;"",T151&lt;&gt;"No")),"",N(H151)*IF(P151="",N(G151),N(P151)))</f>
        <v/>
      </c>
      <c r="V151" s="96"/>
      <c r="W151" s="89"/>
    </row>
    <row r="152" customFormat="false" ht="21" hidden="false" customHeight="true" outlineLevel="0" collapsed="false">
      <c r="A152" s="74" t="n">
        <v>148</v>
      </c>
      <c r="B152" s="86"/>
      <c r="C152" s="87"/>
      <c r="D152" s="88"/>
      <c r="E152" s="89"/>
      <c r="F152" s="89"/>
      <c r="G152" s="90"/>
      <c r="H152" s="91"/>
      <c r="I152" s="92" t="str">
        <f aca="false">IF(OR(G152="",H152=""),"",G152*H152)</f>
        <v/>
      </c>
      <c r="J152" s="89"/>
      <c r="K152" s="93" t="str">
        <f aca="true">IF(AND(F152="",D152=""),"",IF(V152="Sí","✖️ Anulado",IF(O152&lt;&gt;"",IF(OR(Q152="Con incidencia",R152&lt;&gt;""),"⚠️ Llegó con incidencia",IF(AND(P152&lt;&gt;"",N(P152)&lt;N(G152)),"🧩 Llegó incompleto","✅ Recibido")),IF(C152="","🛒 Por pedir",IF(AND(N152&lt;&gt;"",TODAY()&gt;N(N152)),"🐢 Retrasado","📦 Pedido (esperando)")))))</f>
        <v/>
      </c>
      <c r="L152" s="94" t="str">
        <f aca="true">IF(OR(N152="",C152="",K152="",K152="✖️ Anulado"),"",IF(O152&lt;&gt;"",MAX(0,O152-N152),IF(TODAY()&gt;N152,TODAY()-N152,"")))</f>
        <v/>
      </c>
      <c r="M152" s="87"/>
      <c r="N152" s="95" t="str">
        <f aca="false">IF(M152&lt;&gt;"",M152,IF(OR(C152="",D152=""),"",IFERROR(IF(INDEX(Listas!$E$5:$E$60,MATCH(D152,Listas!$B$5:$B$60,0))="","",C152+INDEX(Listas!$E$5:$E$60,MATCH(D152,Listas!$B$5:$B$60,0))),"")))</f>
        <v/>
      </c>
      <c r="O152" s="87"/>
      <c r="P152" s="90"/>
      <c r="Q152" s="96"/>
      <c r="R152" s="89"/>
      <c r="S152" s="94" t="str">
        <f aca="false">IF(OR(C152="",O152="",K152="✖️ Anulado"),"",O152-C152)</f>
        <v/>
      </c>
      <c r="T152" s="87"/>
      <c r="U152" s="92" t="str">
        <f aca="false">IF(OR(O152="",K152="✖️ Anulado",AND(T152&lt;&gt;"",T152&lt;&gt;"No")),"",N(H152)*IF(P152="",N(G152),N(P152)))</f>
        <v/>
      </c>
      <c r="V152" s="96"/>
      <c r="W152" s="89"/>
    </row>
    <row r="153" customFormat="false" ht="21" hidden="false" customHeight="true" outlineLevel="0" collapsed="false">
      <c r="A153" s="74" t="n">
        <v>149</v>
      </c>
      <c r="B153" s="86"/>
      <c r="C153" s="87"/>
      <c r="D153" s="88"/>
      <c r="E153" s="89"/>
      <c r="F153" s="89"/>
      <c r="G153" s="90"/>
      <c r="H153" s="91"/>
      <c r="I153" s="92" t="str">
        <f aca="false">IF(OR(G153="",H153=""),"",G153*H153)</f>
        <v/>
      </c>
      <c r="J153" s="89"/>
      <c r="K153" s="93" t="str">
        <f aca="true">IF(AND(F153="",D153=""),"",IF(V153="Sí","✖️ Anulado",IF(O153&lt;&gt;"",IF(OR(Q153="Con incidencia",R153&lt;&gt;""),"⚠️ Llegó con incidencia",IF(AND(P153&lt;&gt;"",N(P153)&lt;N(G153)),"🧩 Llegó incompleto","✅ Recibido")),IF(C153="","🛒 Por pedir",IF(AND(N153&lt;&gt;"",TODAY()&gt;N(N153)),"🐢 Retrasado","📦 Pedido (esperando)")))))</f>
        <v/>
      </c>
      <c r="L153" s="94" t="str">
        <f aca="true">IF(OR(N153="",C153="",K153="",K153="✖️ Anulado"),"",IF(O153&lt;&gt;"",MAX(0,O153-N153),IF(TODAY()&gt;N153,TODAY()-N153,"")))</f>
        <v/>
      </c>
      <c r="M153" s="87"/>
      <c r="N153" s="95" t="str">
        <f aca="false">IF(M153&lt;&gt;"",M153,IF(OR(C153="",D153=""),"",IFERROR(IF(INDEX(Listas!$E$5:$E$60,MATCH(D153,Listas!$B$5:$B$60,0))="","",C153+INDEX(Listas!$E$5:$E$60,MATCH(D153,Listas!$B$5:$B$60,0))),"")))</f>
        <v/>
      </c>
      <c r="O153" s="87"/>
      <c r="P153" s="90"/>
      <c r="Q153" s="96"/>
      <c r="R153" s="89"/>
      <c r="S153" s="94" t="str">
        <f aca="false">IF(OR(C153="",O153="",K153="✖️ Anulado"),"",O153-C153)</f>
        <v/>
      </c>
      <c r="T153" s="87"/>
      <c r="U153" s="92" t="str">
        <f aca="false">IF(OR(O153="",K153="✖️ Anulado",AND(T153&lt;&gt;"",T153&lt;&gt;"No")),"",N(H153)*IF(P153="",N(G153),N(P153)))</f>
        <v/>
      </c>
      <c r="V153" s="96"/>
      <c r="W153" s="89"/>
    </row>
    <row r="154" customFormat="false" ht="21" hidden="false" customHeight="true" outlineLevel="0" collapsed="false">
      <c r="A154" s="74" t="n">
        <v>150</v>
      </c>
      <c r="B154" s="86"/>
      <c r="C154" s="87"/>
      <c r="D154" s="88"/>
      <c r="E154" s="89"/>
      <c r="F154" s="89"/>
      <c r="G154" s="90"/>
      <c r="H154" s="91"/>
      <c r="I154" s="92" t="str">
        <f aca="false">IF(OR(G154="",H154=""),"",G154*H154)</f>
        <v/>
      </c>
      <c r="J154" s="89"/>
      <c r="K154" s="93" t="str">
        <f aca="true">IF(AND(F154="",D154=""),"",IF(V154="Sí","✖️ Anulado",IF(O154&lt;&gt;"",IF(OR(Q154="Con incidencia",R154&lt;&gt;""),"⚠️ Llegó con incidencia",IF(AND(P154&lt;&gt;"",N(P154)&lt;N(G154)),"🧩 Llegó incompleto","✅ Recibido")),IF(C154="","🛒 Por pedir",IF(AND(N154&lt;&gt;"",TODAY()&gt;N(N154)),"🐢 Retrasado","📦 Pedido (esperando)")))))</f>
        <v/>
      </c>
      <c r="L154" s="94" t="str">
        <f aca="true">IF(OR(N154="",C154="",K154="",K154="✖️ Anulado"),"",IF(O154&lt;&gt;"",MAX(0,O154-N154),IF(TODAY()&gt;N154,TODAY()-N154,"")))</f>
        <v/>
      </c>
      <c r="M154" s="87"/>
      <c r="N154" s="95" t="str">
        <f aca="false">IF(M154&lt;&gt;"",M154,IF(OR(C154="",D154=""),"",IFERROR(IF(INDEX(Listas!$E$5:$E$60,MATCH(D154,Listas!$B$5:$B$60,0))="","",C154+INDEX(Listas!$E$5:$E$60,MATCH(D154,Listas!$B$5:$B$60,0))),"")))</f>
        <v/>
      </c>
      <c r="O154" s="87"/>
      <c r="P154" s="90"/>
      <c r="Q154" s="96"/>
      <c r="R154" s="89"/>
      <c r="S154" s="94" t="str">
        <f aca="false">IF(OR(C154="",O154="",K154="✖️ Anulado"),"",O154-C154)</f>
        <v/>
      </c>
      <c r="T154" s="87"/>
      <c r="U154" s="92" t="str">
        <f aca="false">IF(OR(O154="",K154="✖️ Anulado",AND(T154&lt;&gt;"",T154&lt;&gt;"No")),"",N(H154)*IF(P154="",N(G154),N(P154)))</f>
        <v/>
      </c>
      <c r="V154" s="96"/>
      <c r="W154" s="89"/>
    </row>
    <row r="155" customFormat="false" ht="21" hidden="false" customHeight="true" outlineLevel="0" collapsed="false">
      <c r="A155" s="74" t="n">
        <v>151</v>
      </c>
      <c r="B155" s="86"/>
      <c r="C155" s="87"/>
      <c r="D155" s="88"/>
      <c r="E155" s="89"/>
      <c r="F155" s="89"/>
      <c r="G155" s="90"/>
      <c r="H155" s="91"/>
      <c r="I155" s="92" t="str">
        <f aca="false">IF(OR(G155="",H155=""),"",G155*H155)</f>
        <v/>
      </c>
      <c r="J155" s="89"/>
      <c r="K155" s="93" t="str">
        <f aca="true">IF(AND(F155="",D155=""),"",IF(V155="Sí","✖️ Anulado",IF(O155&lt;&gt;"",IF(OR(Q155="Con incidencia",R155&lt;&gt;""),"⚠️ Llegó con incidencia",IF(AND(P155&lt;&gt;"",N(P155)&lt;N(G155)),"🧩 Llegó incompleto","✅ Recibido")),IF(C155="","🛒 Por pedir",IF(AND(N155&lt;&gt;"",TODAY()&gt;N(N155)),"🐢 Retrasado","📦 Pedido (esperando)")))))</f>
        <v/>
      </c>
      <c r="L155" s="94" t="str">
        <f aca="true">IF(OR(N155="",C155="",K155="",K155="✖️ Anulado"),"",IF(O155&lt;&gt;"",MAX(0,O155-N155),IF(TODAY()&gt;N155,TODAY()-N155,"")))</f>
        <v/>
      </c>
      <c r="M155" s="87"/>
      <c r="N155" s="95" t="str">
        <f aca="false">IF(M155&lt;&gt;"",M155,IF(OR(C155="",D155=""),"",IFERROR(IF(INDEX(Listas!$E$5:$E$60,MATCH(D155,Listas!$B$5:$B$60,0))="","",C155+INDEX(Listas!$E$5:$E$60,MATCH(D155,Listas!$B$5:$B$60,0))),"")))</f>
        <v/>
      </c>
      <c r="O155" s="87"/>
      <c r="P155" s="90"/>
      <c r="Q155" s="96"/>
      <c r="R155" s="89"/>
      <c r="S155" s="94" t="str">
        <f aca="false">IF(OR(C155="",O155="",K155="✖️ Anulado"),"",O155-C155)</f>
        <v/>
      </c>
      <c r="T155" s="87"/>
      <c r="U155" s="92" t="str">
        <f aca="false">IF(OR(O155="",K155="✖️ Anulado",AND(T155&lt;&gt;"",T155&lt;&gt;"No")),"",N(H155)*IF(P155="",N(G155),N(P155)))</f>
        <v/>
      </c>
      <c r="V155" s="96"/>
      <c r="W155" s="89"/>
    </row>
    <row r="156" customFormat="false" ht="21" hidden="false" customHeight="true" outlineLevel="0" collapsed="false">
      <c r="A156" s="74" t="n">
        <v>152</v>
      </c>
      <c r="B156" s="86"/>
      <c r="C156" s="87"/>
      <c r="D156" s="88"/>
      <c r="E156" s="89"/>
      <c r="F156" s="89"/>
      <c r="G156" s="90"/>
      <c r="H156" s="91"/>
      <c r="I156" s="92" t="str">
        <f aca="false">IF(OR(G156="",H156=""),"",G156*H156)</f>
        <v/>
      </c>
      <c r="J156" s="89"/>
      <c r="K156" s="93" t="str">
        <f aca="true">IF(AND(F156="",D156=""),"",IF(V156="Sí","✖️ Anulado",IF(O156&lt;&gt;"",IF(OR(Q156="Con incidencia",R156&lt;&gt;""),"⚠️ Llegó con incidencia",IF(AND(P156&lt;&gt;"",N(P156)&lt;N(G156)),"🧩 Llegó incompleto","✅ Recibido")),IF(C156="","🛒 Por pedir",IF(AND(N156&lt;&gt;"",TODAY()&gt;N(N156)),"🐢 Retrasado","📦 Pedido (esperando)")))))</f>
        <v/>
      </c>
      <c r="L156" s="94" t="str">
        <f aca="true">IF(OR(N156="",C156="",K156="",K156="✖️ Anulado"),"",IF(O156&lt;&gt;"",MAX(0,O156-N156),IF(TODAY()&gt;N156,TODAY()-N156,"")))</f>
        <v/>
      </c>
      <c r="M156" s="87"/>
      <c r="N156" s="95" t="str">
        <f aca="false">IF(M156&lt;&gt;"",M156,IF(OR(C156="",D156=""),"",IFERROR(IF(INDEX(Listas!$E$5:$E$60,MATCH(D156,Listas!$B$5:$B$60,0))="","",C156+INDEX(Listas!$E$5:$E$60,MATCH(D156,Listas!$B$5:$B$60,0))),"")))</f>
        <v/>
      </c>
      <c r="O156" s="87"/>
      <c r="P156" s="90"/>
      <c r="Q156" s="96"/>
      <c r="R156" s="89"/>
      <c r="S156" s="94" t="str">
        <f aca="false">IF(OR(C156="",O156="",K156="✖️ Anulado"),"",O156-C156)</f>
        <v/>
      </c>
      <c r="T156" s="87"/>
      <c r="U156" s="92" t="str">
        <f aca="false">IF(OR(O156="",K156="✖️ Anulado",AND(T156&lt;&gt;"",T156&lt;&gt;"No")),"",N(H156)*IF(P156="",N(G156),N(P156)))</f>
        <v/>
      </c>
      <c r="V156" s="96"/>
      <c r="W156" s="89"/>
    </row>
    <row r="157" customFormat="false" ht="21" hidden="false" customHeight="true" outlineLevel="0" collapsed="false">
      <c r="A157" s="74" t="n">
        <v>153</v>
      </c>
      <c r="B157" s="86"/>
      <c r="C157" s="87"/>
      <c r="D157" s="88"/>
      <c r="E157" s="89"/>
      <c r="F157" s="89"/>
      <c r="G157" s="90"/>
      <c r="H157" s="91"/>
      <c r="I157" s="92" t="str">
        <f aca="false">IF(OR(G157="",H157=""),"",G157*H157)</f>
        <v/>
      </c>
      <c r="J157" s="89"/>
      <c r="K157" s="93" t="str">
        <f aca="true">IF(AND(F157="",D157=""),"",IF(V157="Sí","✖️ Anulado",IF(O157&lt;&gt;"",IF(OR(Q157="Con incidencia",R157&lt;&gt;""),"⚠️ Llegó con incidencia",IF(AND(P157&lt;&gt;"",N(P157)&lt;N(G157)),"🧩 Llegó incompleto","✅ Recibido")),IF(C157="","🛒 Por pedir",IF(AND(N157&lt;&gt;"",TODAY()&gt;N(N157)),"🐢 Retrasado","📦 Pedido (esperando)")))))</f>
        <v/>
      </c>
      <c r="L157" s="94" t="str">
        <f aca="true">IF(OR(N157="",C157="",K157="",K157="✖️ Anulado"),"",IF(O157&lt;&gt;"",MAX(0,O157-N157),IF(TODAY()&gt;N157,TODAY()-N157,"")))</f>
        <v/>
      </c>
      <c r="M157" s="87"/>
      <c r="N157" s="95" t="str">
        <f aca="false">IF(M157&lt;&gt;"",M157,IF(OR(C157="",D157=""),"",IFERROR(IF(INDEX(Listas!$E$5:$E$60,MATCH(D157,Listas!$B$5:$B$60,0))="","",C157+INDEX(Listas!$E$5:$E$60,MATCH(D157,Listas!$B$5:$B$60,0))),"")))</f>
        <v/>
      </c>
      <c r="O157" s="87"/>
      <c r="P157" s="90"/>
      <c r="Q157" s="96"/>
      <c r="R157" s="89"/>
      <c r="S157" s="94" t="str">
        <f aca="false">IF(OR(C157="",O157="",K157="✖️ Anulado"),"",O157-C157)</f>
        <v/>
      </c>
      <c r="T157" s="87"/>
      <c r="U157" s="92" t="str">
        <f aca="false">IF(OR(O157="",K157="✖️ Anulado",AND(T157&lt;&gt;"",T157&lt;&gt;"No")),"",N(H157)*IF(P157="",N(G157),N(P157)))</f>
        <v/>
      </c>
      <c r="V157" s="96"/>
      <c r="W157" s="89"/>
    </row>
    <row r="158" customFormat="false" ht="21" hidden="false" customHeight="true" outlineLevel="0" collapsed="false">
      <c r="A158" s="74" t="n">
        <v>154</v>
      </c>
      <c r="B158" s="86"/>
      <c r="C158" s="87"/>
      <c r="D158" s="88"/>
      <c r="E158" s="89"/>
      <c r="F158" s="89"/>
      <c r="G158" s="90"/>
      <c r="H158" s="91"/>
      <c r="I158" s="92" t="str">
        <f aca="false">IF(OR(G158="",H158=""),"",G158*H158)</f>
        <v/>
      </c>
      <c r="J158" s="89"/>
      <c r="K158" s="93" t="str">
        <f aca="true">IF(AND(F158="",D158=""),"",IF(V158="Sí","✖️ Anulado",IF(O158&lt;&gt;"",IF(OR(Q158="Con incidencia",R158&lt;&gt;""),"⚠️ Llegó con incidencia",IF(AND(P158&lt;&gt;"",N(P158)&lt;N(G158)),"🧩 Llegó incompleto","✅ Recibido")),IF(C158="","🛒 Por pedir",IF(AND(N158&lt;&gt;"",TODAY()&gt;N(N158)),"🐢 Retrasado","📦 Pedido (esperando)")))))</f>
        <v/>
      </c>
      <c r="L158" s="94" t="str">
        <f aca="true">IF(OR(N158="",C158="",K158="",K158="✖️ Anulado"),"",IF(O158&lt;&gt;"",MAX(0,O158-N158),IF(TODAY()&gt;N158,TODAY()-N158,"")))</f>
        <v/>
      </c>
      <c r="M158" s="87"/>
      <c r="N158" s="95" t="str">
        <f aca="false">IF(M158&lt;&gt;"",M158,IF(OR(C158="",D158=""),"",IFERROR(IF(INDEX(Listas!$E$5:$E$60,MATCH(D158,Listas!$B$5:$B$60,0))="","",C158+INDEX(Listas!$E$5:$E$60,MATCH(D158,Listas!$B$5:$B$60,0))),"")))</f>
        <v/>
      </c>
      <c r="O158" s="87"/>
      <c r="P158" s="90"/>
      <c r="Q158" s="96"/>
      <c r="R158" s="89"/>
      <c r="S158" s="94" t="str">
        <f aca="false">IF(OR(C158="",O158="",K158="✖️ Anulado"),"",O158-C158)</f>
        <v/>
      </c>
      <c r="T158" s="87"/>
      <c r="U158" s="92" t="str">
        <f aca="false">IF(OR(O158="",K158="✖️ Anulado",AND(T158&lt;&gt;"",T158&lt;&gt;"No")),"",N(H158)*IF(P158="",N(G158),N(P158)))</f>
        <v/>
      </c>
      <c r="V158" s="96"/>
      <c r="W158" s="89"/>
    </row>
    <row r="159" customFormat="false" ht="21" hidden="false" customHeight="true" outlineLevel="0" collapsed="false">
      <c r="A159" s="74" t="n">
        <v>155</v>
      </c>
      <c r="B159" s="86"/>
      <c r="C159" s="87"/>
      <c r="D159" s="88"/>
      <c r="E159" s="89"/>
      <c r="F159" s="89"/>
      <c r="G159" s="90"/>
      <c r="H159" s="91"/>
      <c r="I159" s="92" t="str">
        <f aca="false">IF(OR(G159="",H159=""),"",G159*H159)</f>
        <v/>
      </c>
      <c r="J159" s="89"/>
      <c r="K159" s="93" t="str">
        <f aca="true">IF(AND(F159="",D159=""),"",IF(V159="Sí","✖️ Anulado",IF(O159&lt;&gt;"",IF(OR(Q159="Con incidencia",R159&lt;&gt;""),"⚠️ Llegó con incidencia",IF(AND(P159&lt;&gt;"",N(P159)&lt;N(G159)),"🧩 Llegó incompleto","✅ Recibido")),IF(C159="","🛒 Por pedir",IF(AND(N159&lt;&gt;"",TODAY()&gt;N(N159)),"🐢 Retrasado","📦 Pedido (esperando)")))))</f>
        <v/>
      </c>
      <c r="L159" s="94" t="str">
        <f aca="true">IF(OR(N159="",C159="",K159="",K159="✖️ Anulado"),"",IF(O159&lt;&gt;"",MAX(0,O159-N159),IF(TODAY()&gt;N159,TODAY()-N159,"")))</f>
        <v/>
      </c>
      <c r="M159" s="87"/>
      <c r="N159" s="95" t="str">
        <f aca="false">IF(M159&lt;&gt;"",M159,IF(OR(C159="",D159=""),"",IFERROR(IF(INDEX(Listas!$E$5:$E$60,MATCH(D159,Listas!$B$5:$B$60,0))="","",C159+INDEX(Listas!$E$5:$E$60,MATCH(D159,Listas!$B$5:$B$60,0))),"")))</f>
        <v/>
      </c>
      <c r="O159" s="87"/>
      <c r="P159" s="90"/>
      <c r="Q159" s="96"/>
      <c r="R159" s="89"/>
      <c r="S159" s="94" t="str">
        <f aca="false">IF(OR(C159="",O159="",K159="✖️ Anulado"),"",O159-C159)</f>
        <v/>
      </c>
      <c r="T159" s="87"/>
      <c r="U159" s="92" t="str">
        <f aca="false">IF(OR(O159="",K159="✖️ Anulado",AND(T159&lt;&gt;"",T159&lt;&gt;"No")),"",N(H159)*IF(P159="",N(G159),N(P159)))</f>
        <v/>
      </c>
      <c r="V159" s="96"/>
      <c r="W159" s="89"/>
    </row>
    <row r="160" customFormat="false" ht="21" hidden="false" customHeight="true" outlineLevel="0" collapsed="false">
      <c r="A160" s="74" t="n">
        <v>156</v>
      </c>
      <c r="B160" s="86"/>
      <c r="C160" s="87"/>
      <c r="D160" s="88"/>
      <c r="E160" s="89"/>
      <c r="F160" s="89"/>
      <c r="G160" s="90"/>
      <c r="H160" s="91"/>
      <c r="I160" s="92" t="str">
        <f aca="false">IF(OR(G160="",H160=""),"",G160*H160)</f>
        <v/>
      </c>
      <c r="J160" s="89"/>
      <c r="K160" s="93" t="str">
        <f aca="true">IF(AND(F160="",D160=""),"",IF(V160="Sí","✖️ Anulado",IF(O160&lt;&gt;"",IF(OR(Q160="Con incidencia",R160&lt;&gt;""),"⚠️ Llegó con incidencia",IF(AND(P160&lt;&gt;"",N(P160)&lt;N(G160)),"🧩 Llegó incompleto","✅ Recibido")),IF(C160="","🛒 Por pedir",IF(AND(N160&lt;&gt;"",TODAY()&gt;N(N160)),"🐢 Retrasado","📦 Pedido (esperando)")))))</f>
        <v/>
      </c>
      <c r="L160" s="94" t="str">
        <f aca="true">IF(OR(N160="",C160="",K160="",K160="✖️ Anulado"),"",IF(O160&lt;&gt;"",MAX(0,O160-N160),IF(TODAY()&gt;N160,TODAY()-N160,"")))</f>
        <v/>
      </c>
      <c r="M160" s="87"/>
      <c r="N160" s="95" t="str">
        <f aca="false">IF(M160&lt;&gt;"",M160,IF(OR(C160="",D160=""),"",IFERROR(IF(INDEX(Listas!$E$5:$E$60,MATCH(D160,Listas!$B$5:$B$60,0))="","",C160+INDEX(Listas!$E$5:$E$60,MATCH(D160,Listas!$B$5:$B$60,0))),"")))</f>
        <v/>
      </c>
      <c r="O160" s="87"/>
      <c r="P160" s="90"/>
      <c r="Q160" s="96"/>
      <c r="R160" s="89"/>
      <c r="S160" s="94" t="str">
        <f aca="false">IF(OR(C160="",O160="",K160="✖️ Anulado"),"",O160-C160)</f>
        <v/>
      </c>
      <c r="T160" s="87"/>
      <c r="U160" s="92" t="str">
        <f aca="false">IF(OR(O160="",K160="✖️ Anulado",AND(T160&lt;&gt;"",T160&lt;&gt;"No")),"",N(H160)*IF(P160="",N(G160),N(P160)))</f>
        <v/>
      </c>
      <c r="V160" s="96"/>
      <c r="W160" s="89"/>
    </row>
    <row r="161" customFormat="false" ht="21" hidden="false" customHeight="true" outlineLevel="0" collapsed="false">
      <c r="A161" s="74" t="n">
        <v>157</v>
      </c>
      <c r="B161" s="86"/>
      <c r="C161" s="87"/>
      <c r="D161" s="88"/>
      <c r="E161" s="89"/>
      <c r="F161" s="89"/>
      <c r="G161" s="90"/>
      <c r="H161" s="91"/>
      <c r="I161" s="92" t="str">
        <f aca="false">IF(OR(G161="",H161=""),"",G161*H161)</f>
        <v/>
      </c>
      <c r="J161" s="89"/>
      <c r="K161" s="93" t="str">
        <f aca="true">IF(AND(F161="",D161=""),"",IF(V161="Sí","✖️ Anulado",IF(O161&lt;&gt;"",IF(OR(Q161="Con incidencia",R161&lt;&gt;""),"⚠️ Llegó con incidencia",IF(AND(P161&lt;&gt;"",N(P161)&lt;N(G161)),"🧩 Llegó incompleto","✅ Recibido")),IF(C161="","🛒 Por pedir",IF(AND(N161&lt;&gt;"",TODAY()&gt;N(N161)),"🐢 Retrasado","📦 Pedido (esperando)")))))</f>
        <v/>
      </c>
      <c r="L161" s="94" t="str">
        <f aca="true">IF(OR(N161="",C161="",K161="",K161="✖️ Anulado"),"",IF(O161&lt;&gt;"",MAX(0,O161-N161),IF(TODAY()&gt;N161,TODAY()-N161,"")))</f>
        <v/>
      </c>
      <c r="M161" s="87"/>
      <c r="N161" s="95" t="str">
        <f aca="false">IF(M161&lt;&gt;"",M161,IF(OR(C161="",D161=""),"",IFERROR(IF(INDEX(Listas!$E$5:$E$60,MATCH(D161,Listas!$B$5:$B$60,0))="","",C161+INDEX(Listas!$E$5:$E$60,MATCH(D161,Listas!$B$5:$B$60,0))),"")))</f>
        <v/>
      </c>
      <c r="O161" s="87"/>
      <c r="P161" s="90"/>
      <c r="Q161" s="96"/>
      <c r="R161" s="89"/>
      <c r="S161" s="94" t="str">
        <f aca="false">IF(OR(C161="",O161="",K161="✖️ Anulado"),"",O161-C161)</f>
        <v/>
      </c>
      <c r="T161" s="87"/>
      <c r="U161" s="92" t="str">
        <f aca="false">IF(OR(O161="",K161="✖️ Anulado",AND(T161&lt;&gt;"",T161&lt;&gt;"No")),"",N(H161)*IF(P161="",N(G161),N(P161)))</f>
        <v/>
      </c>
      <c r="V161" s="96"/>
      <c r="W161" s="89"/>
    </row>
    <row r="162" customFormat="false" ht="21" hidden="false" customHeight="true" outlineLevel="0" collapsed="false">
      <c r="A162" s="74" t="n">
        <v>158</v>
      </c>
      <c r="B162" s="86"/>
      <c r="C162" s="87"/>
      <c r="D162" s="88"/>
      <c r="E162" s="89"/>
      <c r="F162" s="89"/>
      <c r="G162" s="90"/>
      <c r="H162" s="91"/>
      <c r="I162" s="92" t="str">
        <f aca="false">IF(OR(G162="",H162=""),"",G162*H162)</f>
        <v/>
      </c>
      <c r="J162" s="89"/>
      <c r="K162" s="93" t="str">
        <f aca="true">IF(AND(F162="",D162=""),"",IF(V162="Sí","✖️ Anulado",IF(O162&lt;&gt;"",IF(OR(Q162="Con incidencia",R162&lt;&gt;""),"⚠️ Llegó con incidencia",IF(AND(P162&lt;&gt;"",N(P162)&lt;N(G162)),"🧩 Llegó incompleto","✅ Recibido")),IF(C162="","🛒 Por pedir",IF(AND(N162&lt;&gt;"",TODAY()&gt;N(N162)),"🐢 Retrasado","📦 Pedido (esperando)")))))</f>
        <v/>
      </c>
      <c r="L162" s="94" t="str">
        <f aca="true">IF(OR(N162="",C162="",K162="",K162="✖️ Anulado"),"",IF(O162&lt;&gt;"",MAX(0,O162-N162),IF(TODAY()&gt;N162,TODAY()-N162,"")))</f>
        <v/>
      </c>
      <c r="M162" s="87"/>
      <c r="N162" s="95" t="str">
        <f aca="false">IF(M162&lt;&gt;"",M162,IF(OR(C162="",D162=""),"",IFERROR(IF(INDEX(Listas!$E$5:$E$60,MATCH(D162,Listas!$B$5:$B$60,0))="","",C162+INDEX(Listas!$E$5:$E$60,MATCH(D162,Listas!$B$5:$B$60,0))),"")))</f>
        <v/>
      </c>
      <c r="O162" s="87"/>
      <c r="P162" s="90"/>
      <c r="Q162" s="96"/>
      <c r="R162" s="89"/>
      <c r="S162" s="94" t="str">
        <f aca="false">IF(OR(C162="",O162="",K162="✖️ Anulado"),"",O162-C162)</f>
        <v/>
      </c>
      <c r="T162" s="87"/>
      <c r="U162" s="92" t="str">
        <f aca="false">IF(OR(O162="",K162="✖️ Anulado",AND(T162&lt;&gt;"",T162&lt;&gt;"No")),"",N(H162)*IF(P162="",N(G162),N(P162)))</f>
        <v/>
      </c>
      <c r="V162" s="96"/>
      <c r="W162" s="89"/>
    </row>
    <row r="163" customFormat="false" ht="21" hidden="false" customHeight="true" outlineLevel="0" collapsed="false">
      <c r="A163" s="74" t="n">
        <v>159</v>
      </c>
      <c r="B163" s="86"/>
      <c r="C163" s="87"/>
      <c r="D163" s="88"/>
      <c r="E163" s="89"/>
      <c r="F163" s="89"/>
      <c r="G163" s="90"/>
      <c r="H163" s="91"/>
      <c r="I163" s="92" t="str">
        <f aca="false">IF(OR(G163="",H163=""),"",G163*H163)</f>
        <v/>
      </c>
      <c r="J163" s="89"/>
      <c r="K163" s="93" t="str">
        <f aca="true">IF(AND(F163="",D163=""),"",IF(V163="Sí","✖️ Anulado",IF(O163&lt;&gt;"",IF(OR(Q163="Con incidencia",R163&lt;&gt;""),"⚠️ Llegó con incidencia",IF(AND(P163&lt;&gt;"",N(P163)&lt;N(G163)),"🧩 Llegó incompleto","✅ Recibido")),IF(C163="","🛒 Por pedir",IF(AND(N163&lt;&gt;"",TODAY()&gt;N(N163)),"🐢 Retrasado","📦 Pedido (esperando)")))))</f>
        <v/>
      </c>
      <c r="L163" s="94" t="str">
        <f aca="true">IF(OR(N163="",C163="",K163="",K163="✖️ Anulado"),"",IF(O163&lt;&gt;"",MAX(0,O163-N163),IF(TODAY()&gt;N163,TODAY()-N163,"")))</f>
        <v/>
      </c>
      <c r="M163" s="87"/>
      <c r="N163" s="95" t="str">
        <f aca="false">IF(M163&lt;&gt;"",M163,IF(OR(C163="",D163=""),"",IFERROR(IF(INDEX(Listas!$E$5:$E$60,MATCH(D163,Listas!$B$5:$B$60,0))="","",C163+INDEX(Listas!$E$5:$E$60,MATCH(D163,Listas!$B$5:$B$60,0))),"")))</f>
        <v/>
      </c>
      <c r="O163" s="87"/>
      <c r="P163" s="90"/>
      <c r="Q163" s="96"/>
      <c r="R163" s="89"/>
      <c r="S163" s="94" t="str">
        <f aca="false">IF(OR(C163="",O163="",K163="✖️ Anulado"),"",O163-C163)</f>
        <v/>
      </c>
      <c r="T163" s="87"/>
      <c r="U163" s="92" t="str">
        <f aca="false">IF(OR(O163="",K163="✖️ Anulado",AND(T163&lt;&gt;"",T163&lt;&gt;"No")),"",N(H163)*IF(P163="",N(G163),N(P163)))</f>
        <v/>
      </c>
      <c r="V163" s="96"/>
      <c r="W163" s="89"/>
    </row>
    <row r="164" customFormat="false" ht="21" hidden="false" customHeight="true" outlineLevel="0" collapsed="false">
      <c r="A164" s="74" t="n">
        <v>160</v>
      </c>
      <c r="B164" s="86"/>
      <c r="C164" s="87"/>
      <c r="D164" s="88"/>
      <c r="E164" s="89"/>
      <c r="F164" s="89"/>
      <c r="G164" s="90"/>
      <c r="H164" s="91"/>
      <c r="I164" s="92" t="str">
        <f aca="false">IF(OR(G164="",H164=""),"",G164*H164)</f>
        <v/>
      </c>
      <c r="J164" s="89"/>
      <c r="K164" s="93" t="str">
        <f aca="true">IF(AND(F164="",D164=""),"",IF(V164="Sí","✖️ Anulado",IF(O164&lt;&gt;"",IF(OR(Q164="Con incidencia",R164&lt;&gt;""),"⚠️ Llegó con incidencia",IF(AND(P164&lt;&gt;"",N(P164)&lt;N(G164)),"🧩 Llegó incompleto","✅ Recibido")),IF(C164="","🛒 Por pedir",IF(AND(N164&lt;&gt;"",TODAY()&gt;N(N164)),"🐢 Retrasado","📦 Pedido (esperando)")))))</f>
        <v/>
      </c>
      <c r="L164" s="94" t="str">
        <f aca="true">IF(OR(N164="",C164="",K164="",K164="✖️ Anulado"),"",IF(O164&lt;&gt;"",MAX(0,O164-N164),IF(TODAY()&gt;N164,TODAY()-N164,"")))</f>
        <v/>
      </c>
      <c r="M164" s="87"/>
      <c r="N164" s="95" t="str">
        <f aca="false">IF(M164&lt;&gt;"",M164,IF(OR(C164="",D164=""),"",IFERROR(IF(INDEX(Listas!$E$5:$E$60,MATCH(D164,Listas!$B$5:$B$60,0))="","",C164+INDEX(Listas!$E$5:$E$60,MATCH(D164,Listas!$B$5:$B$60,0))),"")))</f>
        <v/>
      </c>
      <c r="O164" s="87"/>
      <c r="P164" s="90"/>
      <c r="Q164" s="96"/>
      <c r="R164" s="89"/>
      <c r="S164" s="94" t="str">
        <f aca="false">IF(OR(C164="",O164="",K164="✖️ Anulado"),"",O164-C164)</f>
        <v/>
      </c>
      <c r="T164" s="87"/>
      <c r="U164" s="92" t="str">
        <f aca="false">IF(OR(O164="",K164="✖️ Anulado",AND(T164&lt;&gt;"",T164&lt;&gt;"No")),"",N(H164)*IF(P164="",N(G164),N(P164)))</f>
        <v/>
      </c>
      <c r="V164" s="96"/>
      <c r="W164" s="89"/>
    </row>
    <row r="165" customFormat="false" ht="21" hidden="false" customHeight="true" outlineLevel="0" collapsed="false">
      <c r="A165" s="74" t="n">
        <v>161</v>
      </c>
      <c r="B165" s="86"/>
      <c r="C165" s="87"/>
      <c r="D165" s="88"/>
      <c r="E165" s="89"/>
      <c r="F165" s="89"/>
      <c r="G165" s="90"/>
      <c r="H165" s="91"/>
      <c r="I165" s="92" t="str">
        <f aca="false">IF(OR(G165="",H165=""),"",G165*H165)</f>
        <v/>
      </c>
      <c r="J165" s="89"/>
      <c r="K165" s="93" t="str">
        <f aca="true">IF(AND(F165="",D165=""),"",IF(V165="Sí","✖️ Anulado",IF(O165&lt;&gt;"",IF(OR(Q165="Con incidencia",R165&lt;&gt;""),"⚠️ Llegó con incidencia",IF(AND(P165&lt;&gt;"",N(P165)&lt;N(G165)),"🧩 Llegó incompleto","✅ Recibido")),IF(C165="","🛒 Por pedir",IF(AND(N165&lt;&gt;"",TODAY()&gt;N(N165)),"🐢 Retrasado","📦 Pedido (esperando)")))))</f>
        <v/>
      </c>
      <c r="L165" s="94" t="str">
        <f aca="true">IF(OR(N165="",C165="",K165="",K165="✖️ Anulado"),"",IF(O165&lt;&gt;"",MAX(0,O165-N165),IF(TODAY()&gt;N165,TODAY()-N165,"")))</f>
        <v/>
      </c>
      <c r="M165" s="87"/>
      <c r="N165" s="95" t="str">
        <f aca="false">IF(M165&lt;&gt;"",M165,IF(OR(C165="",D165=""),"",IFERROR(IF(INDEX(Listas!$E$5:$E$60,MATCH(D165,Listas!$B$5:$B$60,0))="","",C165+INDEX(Listas!$E$5:$E$60,MATCH(D165,Listas!$B$5:$B$60,0))),"")))</f>
        <v/>
      </c>
      <c r="O165" s="87"/>
      <c r="P165" s="90"/>
      <c r="Q165" s="96"/>
      <c r="R165" s="89"/>
      <c r="S165" s="94" t="str">
        <f aca="false">IF(OR(C165="",O165="",K165="✖️ Anulado"),"",O165-C165)</f>
        <v/>
      </c>
      <c r="T165" s="87"/>
      <c r="U165" s="92" t="str">
        <f aca="false">IF(OR(O165="",K165="✖️ Anulado",AND(T165&lt;&gt;"",T165&lt;&gt;"No")),"",N(H165)*IF(P165="",N(G165),N(P165)))</f>
        <v/>
      </c>
      <c r="V165" s="96"/>
      <c r="W165" s="89"/>
    </row>
    <row r="166" customFormat="false" ht="21" hidden="false" customHeight="true" outlineLevel="0" collapsed="false">
      <c r="A166" s="74" t="n">
        <v>162</v>
      </c>
      <c r="B166" s="86"/>
      <c r="C166" s="87"/>
      <c r="D166" s="88"/>
      <c r="E166" s="89"/>
      <c r="F166" s="89"/>
      <c r="G166" s="90"/>
      <c r="H166" s="91"/>
      <c r="I166" s="92" t="str">
        <f aca="false">IF(OR(G166="",H166=""),"",G166*H166)</f>
        <v/>
      </c>
      <c r="J166" s="89"/>
      <c r="K166" s="93" t="str">
        <f aca="true">IF(AND(F166="",D166=""),"",IF(V166="Sí","✖️ Anulado",IF(O166&lt;&gt;"",IF(OR(Q166="Con incidencia",R166&lt;&gt;""),"⚠️ Llegó con incidencia",IF(AND(P166&lt;&gt;"",N(P166)&lt;N(G166)),"🧩 Llegó incompleto","✅ Recibido")),IF(C166="","🛒 Por pedir",IF(AND(N166&lt;&gt;"",TODAY()&gt;N(N166)),"🐢 Retrasado","📦 Pedido (esperando)")))))</f>
        <v/>
      </c>
      <c r="L166" s="94" t="str">
        <f aca="true">IF(OR(N166="",C166="",K166="",K166="✖️ Anulado"),"",IF(O166&lt;&gt;"",MAX(0,O166-N166),IF(TODAY()&gt;N166,TODAY()-N166,"")))</f>
        <v/>
      </c>
      <c r="M166" s="87"/>
      <c r="N166" s="95" t="str">
        <f aca="false">IF(M166&lt;&gt;"",M166,IF(OR(C166="",D166=""),"",IFERROR(IF(INDEX(Listas!$E$5:$E$60,MATCH(D166,Listas!$B$5:$B$60,0))="","",C166+INDEX(Listas!$E$5:$E$60,MATCH(D166,Listas!$B$5:$B$60,0))),"")))</f>
        <v/>
      </c>
      <c r="O166" s="87"/>
      <c r="P166" s="90"/>
      <c r="Q166" s="96"/>
      <c r="R166" s="89"/>
      <c r="S166" s="94" t="str">
        <f aca="false">IF(OR(C166="",O166="",K166="✖️ Anulado"),"",O166-C166)</f>
        <v/>
      </c>
      <c r="T166" s="87"/>
      <c r="U166" s="92" t="str">
        <f aca="false">IF(OR(O166="",K166="✖️ Anulado",AND(T166&lt;&gt;"",T166&lt;&gt;"No")),"",N(H166)*IF(P166="",N(G166),N(P166)))</f>
        <v/>
      </c>
      <c r="V166" s="96"/>
      <c r="W166" s="89"/>
    </row>
    <row r="167" customFormat="false" ht="21" hidden="false" customHeight="true" outlineLevel="0" collapsed="false">
      <c r="A167" s="74" t="n">
        <v>163</v>
      </c>
      <c r="B167" s="86"/>
      <c r="C167" s="87"/>
      <c r="D167" s="88"/>
      <c r="E167" s="89"/>
      <c r="F167" s="89"/>
      <c r="G167" s="90"/>
      <c r="H167" s="91"/>
      <c r="I167" s="92" t="str">
        <f aca="false">IF(OR(G167="",H167=""),"",G167*H167)</f>
        <v/>
      </c>
      <c r="J167" s="89"/>
      <c r="K167" s="93" t="str">
        <f aca="true">IF(AND(F167="",D167=""),"",IF(V167="Sí","✖️ Anulado",IF(O167&lt;&gt;"",IF(OR(Q167="Con incidencia",R167&lt;&gt;""),"⚠️ Llegó con incidencia",IF(AND(P167&lt;&gt;"",N(P167)&lt;N(G167)),"🧩 Llegó incompleto","✅ Recibido")),IF(C167="","🛒 Por pedir",IF(AND(N167&lt;&gt;"",TODAY()&gt;N(N167)),"🐢 Retrasado","📦 Pedido (esperando)")))))</f>
        <v/>
      </c>
      <c r="L167" s="94" t="str">
        <f aca="true">IF(OR(N167="",C167="",K167="",K167="✖️ Anulado"),"",IF(O167&lt;&gt;"",MAX(0,O167-N167),IF(TODAY()&gt;N167,TODAY()-N167,"")))</f>
        <v/>
      </c>
      <c r="M167" s="87"/>
      <c r="N167" s="95" t="str">
        <f aca="false">IF(M167&lt;&gt;"",M167,IF(OR(C167="",D167=""),"",IFERROR(IF(INDEX(Listas!$E$5:$E$60,MATCH(D167,Listas!$B$5:$B$60,0))="","",C167+INDEX(Listas!$E$5:$E$60,MATCH(D167,Listas!$B$5:$B$60,0))),"")))</f>
        <v/>
      </c>
      <c r="O167" s="87"/>
      <c r="P167" s="90"/>
      <c r="Q167" s="96"/>
      <c r="R167" s="89"/>
      <c r="S167" s="94" t="str">
        <f aca="false">IF(OR(C167="",O167="",K167="✖️ Anulado"),"",O167-C167)</f>
        <v/>
      </c>
      <c r="T167" s="87"/>
      <c r="U167" s="92" t="str">
        <f aca="false">IF(OR(O167="",K167="✖️ Anulado",AND(T167&lt;&gt;"",T167&lt;&gt;"No")),"",N(H167)*IF(P167="",N(G167),N(P167)))</f>
        <v/>
      </c>
      <c r="V167" s="96"/>
      <c r="W167" s="89"/>
    </row>
    <row r="168" customFormat="false" ht="21" hidden="false" customHeight="true" outlineLevel="0" collapsed="false">
      <c r="A168" s="74" t="n">
        <v>164</v>
      </c>
      <c r="B168" s="86"/>
      <c r="C168" s="87"/>
      <c r="D168" s="88"/>
      <c r="E168" s="89"/>
      <c r="F168" s="89"/>
      <c r="G168" s="90"/>
      <c r="H168" s="91"/>
      <c r="I168" s="92" t="str">
        <f aca="false">IF(OR(G168="",H168=""),"",G168*H168)</f>
        <v/>
      </c>
      <c r="J168" s="89"/>
      <c r="K168" s="93" t="str">
        <f aca="true">IF(AND(F168="",D168=""),"",IF(V168="Sí","✖️ Anulado",IF(O168&lt;&gt;"",IF(OR(Q168="Con incidencia",R168&lt;&gt;""),"⚠️ Llegó con incidencia",IF(AND(P168&lt;&gt;"",N(P168)&lt;N(G168)),"🧩 Llegó incompleto","✅ Recibido")),IF(C168="","🛒 Por pedir",IF(AND(N168&lt;&gt;"",TODAY()&gt;N(N168)),"🐢 Retrasado","📦 Pedido (esperando)")))))</f>
        <v/>
      </c>
      <c r="L168" s="94" t="str">
        <f aca="true">IF(OR(N168="",C168="",K168="",K168="✖️ Anulado"),"",IF(O168&lt;&gt;"",MAX(0,O168-N168),IF(TODAY()&gt;N168,TODAY()-N168,"")))</f>
        <v/>
      </c>
      <c r="M168" s="87"/>
      <c r="N168" s="95" t="str">
        <f aca="false">IF(M168&lt;&gt;"",M168,IF(OR(C168="",D168=""),"",IFERROR(IF(INDEX(Listas!$E$5:$E$60,MATCH(D168,Listas!$B$5:$B$60,0))="","",C168+INDEX(Listas!$E$5:$E$60,MATCH(D168,Listas!$B$5:$B$60,0))),"")))</f>
        <v/>
      </c>
      <c r="O168" s="87"/>
      <c r="P168" s="90"/>
      <c r="Q168" s="96"/>
      <c r="R168" s="89"/>
      <c r="S168" s="94" t="str">
        <f aca="false">IF(OR(C168="",O168="",K168="✖️ Anulado"),"",O168-C168)</f>
        <v/>
      </c>
      <c r="T168" s="87"/>
      <c r="U168" s="92" t="str">
        <f aca="false">IF(OR(O168="",K168="✖️ Anulado",AND(T168&lt;&gt;"",T168&lt;&gt;"No")),"",N(H168)*IF(P168="",N(G168),N(P168)))</f>
        <v/>
      </c>
      <c r="V168" s="96"/>
      <c r="W168" s="89"/>
    </row>
    <row r="169" customFormat="false" ht="21" hidden="false" customHeight="true" outlineLevel="0" collapsed="false">
      <c r="A169" s="74" t="n">
        <v>165</v>
      </c>
      <c r="B169" s="86"/>
      <c r="C169" s="87"/>
      <c r="D169" s="88"/>
      <c r="E169" s="89"/>
      <c r="F169" s="89"/>
      <c r="G169" s="90"/>
      <c r="H169" s="91"/>
      <c r="I169" s="92" t="str">
        <f aca="false">IF(OR(G169="",H169=""),"",G169*H169)</f>
        <v/>
      </c>
      <c r="J169" s="89"/>
      <c r="K169" s="93" t="str">
        <f aca="true">IF(AND(F169="",D169=""),"",IF(V169="Sí","✖️ Anulado",IF(O169&lt;&gt;"",IF(OR(Q169="Con incidencia",R169&lt;&gt;""),"⚠️ Llegó con incidencia",IF(AND(P169&lt;&gt;"",N(P169)&lt;N(G169)),"🧩 Llegó incompleto","✅ Recibido")),IF(C169="","🛒 Por pedir",IF(AND(N169&lt;&gt;"",TODAY()&gt;N(N169)),"🐢 Retrasado","📦 Pedido (esperando)")))))</f>
        <v/>
      </c>
      <c r="L169" s="94" t="str">
        <f aca="true">IF(OR(N169="",C169="",K169="",K169="✖️ Anulado"),"",IF(O169&lt;&gt;"",MAX(0,O169-N169),IF(TODAY()&gt;N169,TODAY()-N169,"")))</f>
        <v/>
      </c>
      <c r="M169" s="87"/>
      <c r="N169" s="95" t="str">
        <f aca="false">IF(M169&lt;&gt;"",M169,IF(OR(C169="",D169=""),"",IFERROR(IF(INDEX(Listas!$E$5:$E$60,MATCH(D169,Listas!$B$5:$B$60,0))="","",C169+INDEX(Listas!$E$5:$E$60,MATCH(D169,Listas!$B$5:$B$60,0))),"")))</f>
        <v/>
      </c>
      <c r="O169" s="87"/>
      <c r="P169" s="90"/>
      <c r="Q169" s="96"/>
      <c r="R169" s="89"/>
      <c r="S169" s="94" t="str">
        <f aca="false">IF(OR(C169="",O169="",K169="✖️ Anulado"),"",O169-C169)</f>
        <v/>
      </c>
      <c r="T169" s="87"/>
      <c r="U169" s="92" t="str">
        <f aca="false">IF(OR(O169="",K169="✖️ Anulado",AND(T169&lt;&gt;"",T169&lt;&gt;"No")),"",N(H169)*IF(P169="",N(G169),N(P169)))</f>
        <v/>
      </c>
      <c r="V169" s="96"/>
      <c r="W169" s="89"/>
    </row>
    <row r="170" customFormat="false" ht="21" hidden="false" customHeight="true" outlineLevel="0" collapsed="false">
      <c r="A170" s="74" t="n">
        <v>166</v>
      </c>
      <c r="B170" s="86"/>
      <c r="C170" s="87"/>
      <c r="D170" s="88"/>
      <c r="E170" s="89"/>
      <c r="F170" s="89"/>
      <c r="G170" s="90"/>
      <c r="H170" s="91"/>
      <c r="I170" s="92" t="str">
        <f aca="false">IF(OR(G170="",H170=""),"",G170*H170)</f>
        <v/>
      </c>
      <c r="J170" s="89"/>
      <c r="K170" s="93" t="str">
        <f aca="true">IF(AND(F170="",D170=""),"",IF(V170="Sí","✖️ Anulado",IF(O170&lt;&gt;"",IF(OR(Q170="Con incidencia",R170&lt;&gt;""),"⚠️ Llegó con incidencia",IF(AND(P170&lt;&gt;"",N(P170)&lt;N(G170)),"🧩 Llegó incompleto","✅ Recibido")),IF(C170="","🛒 Por pedir",IF(AND(N170&lt;&gt;"",TODAY()&gt;N(N170)),"🐢 Retrasado","📦 Pedido (esperando)")))))</f>
        <v/>
      </c>
      <c r="L170" s="94" t="str">
        <f aca="true">IF(OR(N170="",C170="",K170="",K170="✖️ Anulado"),"",IF(O170&lt;&gt;"",MAX(0,O170-N170),IF(TODAY()&gt;N170,TODAY()-N170,"")))</f>
        <v/>
      </c>
      <c r="M170" s="87"/>
      <c r="N170" s="95" t="str">
        <f aca="false">IF(M170&lt;&gt;"",M170,IF(OR(C170="",D170=""),"",IFERROR(IF(INDEX(Listas!$E$5:$E$60,MATCH(D170,Listas!$B$5:$B$60,0))="","",C170+INDEX(Listas!$E$5:$E$60,MATCH(D170,Listas!$B$5:$B$60,0))),"")))</f>
        <v/>
      </c>
      <c r="O170" s="87"/>
      <c r="P170" s="90"/>
      <c r="Q170" s="96"/>
      <c r="R170" s="89"/>
      <c r="S170" s="94" t="str">
        <f aca="false">IF(OR(C170="",O170="",K170="✖️ Anulado"),"",O170-C170)</f>
        <v/>
      </c>
      <c r="T170" s="87"/>
      <c r="U170" s="92" t="str">
        <f aca="false">IF(OR(O170="",K170="✖️ Anulado",AND(T170&lt;&gt;"",T170&lt;&gt;"No")),"",N(H170)*IF(P170="",N(G170),N(P170)))</f>
        <v/>
      </c>
      <c r="V170" s="96"/>
      <c r="W170" s="89"/>
    </row>
    <row r="171" customFormat="false" ht="21" hidden="false" customHeight="true" outlineLevel="0" collapsed="false">
      <c r="A171" s="74" t="n">
        <v>167</v>
      </c>
      <c r="B171" s="86"/>
      <c r="C171" s="87"/>
      <c r="D171" s="88"/>
      <c r="E171" s="89"/>
      <c r="F171" s="89"/>
      <c r="G171" s="90"/>
      <c r="H171" s="91"/>
      <c r="I171" s="92" t="str">
        <f aca="false">IF(OR(G171="",H171=""),"",G171*H171)</f>
        <v/>
      </c>
      <c r="J171" s="89"/>
      <c r="K171" s="93" t="str">
        <f aca="true">IF(AND(F171="",D171=""),"",IF(V171="Sí","✖️ Anulado",IF(O171&lt;&gt;"",IF(OR(Q171="Con incidencia",R171&lt;&gt;""),"⚠️ Llegó con incidencia",IF(AND(P171&lt;&gt;"",N(P171)&lt;N(G171)),"🧩 Llegó incompleto","✅ Recibido")),IF(C171="","🛒 Por pedir",IF(AND(N171&lt;&gt;"",TODAY()&gt;N(N171)),"🐢 Retrasado","📦 Pedido (esperando)")))))</f>
        <v/>
      </c>
      <c r="L171" s="94" t="str">
        <f aca="true">IF(OR(N171="",C171="",K171="",K171="✖️ Anulado"),"",IF(O171&lt;&gt;"",MAX(0,O171-N171),IF(TODAY()&gt;N171,TODAY()-N171,"")))</f>
        <v/>
      </c>
      <c r="M171" s="87"/>
      <c r="N171" s="95" t="str">
        <f aca="false">IF(M171&lt;&gt;"",M171,IF(OR(C171="",D171=""),"",IFERROR(IF(INDEX(Listas!$E$5:$E$60,MATCH(D171,Listas!$B$5:$B$60,0))="","",C171+INDEX(Listas!$E$5:$E$60,MATCH(D171,Listas!$B$5:$B$60,0))),"")))</f>
        <v/>
      </c>
      <c r="O171" s="87"/>
      <c r="P171" s="90"/>
      <c r="Q171" s="96"/>
      <c r="R171" s="89"/>
      <c r="S171" s="94" t="str">
        <f aca="false">IF(OR(C171="",O171="",K171="✖️ Anulado"),"",O171-C171)</f>
        <v/>
      </c>
      <c r="T171" s="87"/>
      <c r="U171" s="92" t="str">
        <f aca="false">IF(OR(O171="",K171="✖️ Anulado",AND(T171&lt;&gt;"",T171&lt;&gt;"No")),"",N(H171)*IF(P171="",N(G171),N(P171)))</f>
        <v/>
      </c>
      <c r="V171" s="96"/>
      <c r="W171" s="89"/>
    </row>
    <row r="172" customFormat="false" ht="21" hidden="false" customHeight="true" outlineLevel="0" collapsed="false">
      <c r="A172" s="74" t="n">
        <v>168</v>
      </c>
      <c r="B172" s="86"/>
      <c r="C172" s="87"/>
      <c r="D172" s="88"/>
      <c r="E172" s="89"/>
      <c r="F172" s="89"/>
      <c r="G172" s="90"/>
      <c r="H172" s="91"/>
      <c r="I172" s="92" t="str">
        <f aca="false">IF(OR(G172="",H172=""),"",G172*H172)</f>
        <v/>
      </c>
      <c r="J172" s="89"/>
      <c r="K172" s="93" t="str">
        <f aca="true">IF(AND(F172="",D172=""),"",IF(V172="Sí","✖️ Anulado",IF(O172&lt;&gt;"",IF(OR(Q172="Con incidencia",R172&lt;&gt;""),"⚠️ Llegó con incidencia",IF(AND(P172&lt;&gt;"",N(P172)&lt;N(G172)),"🧩 Llegó incompleto","✅ Recibido")),IF(C172="","🛒 Por pedir",IF(AND(N172&lt;&gt;"",TODAY()&gt;N(N172)),"🐢 Retrasado","📦 Pedido (esperando)")))))</f>
        <v/>
      </c>
      <c r="L172" s="94" t="str">
        <f aca="true">IF(OR(N172="",C172="",K172="",K172="✖️ Anulado"),"",IF(O172&lt;&gt;"",MAX(0,O172-N172),IF(TODAY()&gt;N172,TODAY()-N172,"")))</f>
        <v/>
      </c>
      <c r="M172" s="87"/>
      <c r="N172" s="95" t="str">
        <f aca="false">IF(M172&lt;&gt;"",M172,IF(OR(C172="",D172=""),"",IFERROR(IF(INDEX(Listas!$E$5:$E$60,MATCH(D172,Listas!$B$5:$B$60,0))="","",C172+INDEX(Listas!$E$5:$E$60,MATCH(D172,Listas!$B$5:$B$60,0))),"")))</f>
        <v/>
      </c>
      <c r="O172" s="87"/>
      <c r="P172" s="90"/>
      <c r="Q172" s="96"/>
      <c r="R172" s="89"/>
      <c r="S172" s="94" t="str">
        <f aca="false">IF(OR(C172="",O172="",K172="✖️ Anulado"),"",O172-C172)</f>
        <v/>
      </c>
      <c r="T172" s="87"/>
      <c r="U172" s="92" t="str">
        <f aca="false">IF(OR(O172="",K172="✖️ Anulado",AND(T172&lt;&gt;"",T172&lt;&gt;"No")),"",N(H172)*IF(P172="",N(G172),N(P172)))</f>
        <v/>
      </c>
      <c r="V172" s="96"/>
      <c r="W172" s="89"/>
    </row>
    <row r="173" customFormat="false" ht="21" hidden="false" customHeight="true" outlineLevel="0" collapsed="false">
      <c r="A173" s="74" t="n">
        <v>169</v>
      </c>
      <c r="B173" s="86"/>
      <c r="C173" s="87"/>
      <c r="D173" s="88"/>
      <c r="E173" s="89"/>
      <c r="F173" s="89"/>
      <c r="G173" s="90"/>
      <c r="H173" s="91"/>
      <c r="I173" s="92" t="str">
        <f aca="false">IF(OR(G173="",H173=""),"",G173*H173)</f>
        <v/>
      </c>
      <c r="J173" s="89"/>
      <c r="K173" s="93" t="str">
        <f aca="true">IF(AND(F173="",D173=""),"",IF(V173="Sí","✖️ Anulado",IF(O173&lt;&gt;"",IF(OR(Q173="Con incidencia",R173&lt;&gt;""),"⚠️ Llegó con incidencia",IF(AND(P173&lt;&gt;"",N(P173)&lt;N(G173)),"🧩 Llegó incompleto","✅ Recibido")),IF(C173="","🛒 Por pedir",IF(AND(N173&lt;&gt;"",TODAY()&gt;N(N173)),"🐢 Retrasado","📦 Pedido (esperando)")))))</f>
        <v/>
      </c>
      <c r="L173" s="94" t="str">
        <f aca="true">IF(OR(N173="",C173="",K173="",K173="✖️ Anulado"),"",IF(O173&lt;&gt;"",MAX(0,O173-N173),IF(TODAY()&gt;N173,TODAY()-N173,"")))</f>
        <v/>
      </c>
      <c r="M173" s="87"/>
      <c r="N173" s="95" t="str">
        <f aca="false">IF(M173&lt;&gt;"",M173,IF(OR(C173="",D173=""),"",IFERROR(IF(INDEX(Listas!$E$5:$E$60,MATCH(D173,Listas!$B$5:$B$60,0))="","",C173+INDEX(Listas!$E$5:$E$60,MATCH(D173,Listas!$B$5:$B$60,0))),"")))</f>
        <v/>
      </c>
      <c r="O173" s="87"/>
      <c r="P173" s="90"/>
      <c r="Q173" s="96"/>
      <c r="R173" s="89"/>
      <c r="S173" s="94" t="str">
        <f aca="false">IF(OR(C173="",O173="",K173="✖️ Anulado"),"",O173-C173)</f>
        <v/>
      </c>
      <c r="T173" s="87"/>
      <c r="U173" s="92" t="str">
        <f aca="false">IF(OR(O173="",K173="✖️ Anulado",AND(T173&lt;&gt;"",T173&lt;&gt;"No")),"",N(H173)*IF(P173="",N(G173),N(P173)))</f>
        <v/>
      </c>
      <c r="V173" s="96"/>
      <c r="W173" s="89"/>
    </row>
    <row r="174" customFormat="false" ht="21" hidden="false" customHeight="true" outlineLevel="0" collapsed="false">
      <c r="A174" s="74" t="n">
        <v>170</v>
      </c>
      <c r="B174" s="86"/>
      <c r="C174" s="87"/>
      <c r="D174" s="88"/>
      <c r="E174" s="89"/>
      <c r="F174" s="89"/>
      <c r="G174" s="90"/>
      <c r="H174" s="91"/>
      <c r="I174" s="92" t="str">
        <f aca="false">IF(OR(G174="",H174=""),"",G174*H174)</f>
        <v/>
      </c>
      <c r="J174" s="89"/>
      <c r="K174" s="93" t="str">
        <f aca="true">IF(AND(F174="",D174=""),"",IF(V174="Sí","✖️ Anulado",IF(O174&lt;&gt;"",IF(OR(Q174="Con incidencia",R174&lt;&gt;""),"⚠️ Llegó con incidencia",IF(AND(P174&lt;&gt;"",N(P174)&lt;N(G174)),"🧩 Llegó incompleto","✅ Recibido")),IF(C174="","🛒 Por pedir",IF(AND(N174&lt;&gt;"",TODAY()&gt;N(N174)),"🐢 Retrasado","📦 Pedido (esperando)")))))</f>
        <v/>
      </c>
      <c r="L174" s="94" t="str">
        <f aca="true">IF(OR(N174="",C174="",K174="",K174="✖️ Anulado"),"",IF(O174&lt;&gt;"",MAX(0,O174-N174),IF(TODAY()&gt;N174,TODAY()-N174,"")))</f>
        <v/>
      </c>
      <c r="M174" s="87"/>
      <c r="N174" s="95" t="str">
        <f aca="false">IF(M174&lt;&gt;"",M174,IF(OR(C174="",D174=""),"",IFERROR(IF(INDEX(Listas!$E$5:$E$60,MATCH(D174,Listas!$B$5:$B$60,0))="","",C174+INDEX(Listas!$E$5:$E$60,MATCH(D174,Listas!$B$5:$B$60,0))),"")))</f>
        <v/>
      </c>
      <c r="O174" s="87"/>
      <c r="P174" s="90"/>
      <c r="Q174" s="96"/>
      <c r="R174" s="89"/>
      <c r="S174" s="94" t="str">
        <f aca="false">IF(OR(C174="",O174="",K174="✖️ Anulado"),"",O174-C174)</f>
        <v/>
      </c>
      <c r="T174" s="87"/>
      <c r="U174" s="92" t="str">
        <f aca="false">IF(OR(O174="",K174="✖️ Anulado",AND(T174&lt;&gt;"",T174&lt;&gt;"No")),"",N(H174)*IF(P174="",N(G174),N(P174)))</f>
        <v/>
      </c>
      <c r="V174" s="96"/>
      <c r="W174" s="89"/>
    </row>
    <row r="175" customFormat="false" ht="21" hidden="false" customHeight="true" outlineLevel="0" collapsed="false">
      <c r="A175" s="74" t="n">
        <v>171</v>
      </c>
      <c r="B175" s="86"/>
      <c r="C175" s="87"/>
      <c r="D175" s="88"/>
      <c r="E175" s="89"/>
      <c r="F175" s="89"/>
      <c r="G175" s="90"/>
      <c r="H175" s="91"/>
      <c r="I175" s="92" t="str">
        <f aca="false">IF(OR(G175="",H175=""),"",G175*H175)</f>
        <v/>
      </c>
      <c r="J175" s="89"/>
      <c r="K175" s="93" t="str">
        <f aca="true">IF(AND(F175="",D175=""),"",IF(V175="Sí","✖️ Anulado",IF(O175&lt;&gt;"",IF(OR(Q175="Con incidencia",R175&lt;&gt;""),"⚠️ Llegó con incidencia",IF(AND(P175&lt;&gt;"",N(P175)&lt;N(G175)),"🧩 Llegó incompleto","✅ Recibido")),IF(C175="","🛒 Por pedir",IF(AND(N175&lt;&gt;"",TODAY()&gt;N(N175)),"🐢 Retrasado","📦 Pedido (esperando)")))))</f>
        <v/>
      </c>
      <c r="L175" s="94" t="str">
        <f aca="true">IF(OR(N175="",C175="",K175="",K175="✖️ Anulado"),"",IF(O175&lt;&gt;"",MAX(0,O175-N175),IF(TODAY()&gt;N175,TODAY()-N175,"")))</f>
        <v/>
      </c>
      <c r="M175" s="87"/>
      <c r="N175" s="95" t="str">
        <f aca="false">IF(M175&lt;&gt;"",M175,IF(OR(C175="",D175=""),"",IFERROR(IF(INDEX(Listas!$E$5:$E$60,MATCH(D175,Listas!$B$5:$B$60,0))="","",C175+INDEX(Listas!$E$5:$E$60,MATCH(D175,Listas!$B$5:$B$60,0))),"")))</f>
        <v/>
      </c>
      <c r="O175" s="87"/>
      <c r="P175" s="90"/>
      <c r="Q175" s="96"/>
      <c r="R175" s="89"/>
      <c r="S175" s="94" t="str">
        <f aca="false">IF(OR(C175="",O175="",K175="✖️ Anulado"),"",O175-C175)</f>
        <v/>
      </c>
      <c r="T175" s="87"/>
      <c r="U175" s="92" t="str">
        <f aca="false">IF(OR(O175="",K175="✖️ Anulado",AND(T175&lt;&gt;"",T175&lt;&gt;"No")),"",N(H175)*IF(P175="",N(G175),N(P175)))</f>
        <v/>
      </c>
      <c r="V175" s="96"/>
      <c r="W175" s="89"/>
    </row>
    <row r="176" customFormat="false" ht="21" hidden="false" customHeight="true" outlineLevel="0" collapsed="false">
      <c r="A176" s="74" t="n">
        <v>172</v>
      </c>
      <c r="B176" s="86"/>
      <c r="C176" s="87"/>
      <c r="D176" s="88"/>
      <c r="E176" s="89"/>
      <c r="F176" s="89"/>
      <c r="G176" s="90"/>
      <c r="H176" s="91"/>
      <c r="I176" s="92" t="str">
        <f aca="false">IF(OR(G176="",H176=""),"",G176*H176)</f>
        <v/>
      </c>
      <c r="J176" s="89"/>
      <c r="K176" s="93" t="str">
        <f aca="true">IF(AND(F176="",D176=""),"",IF(V176="Sí","✖️ Anulado",IF(O176&lt;&gt;"",IF(OR(Q176="Con incidencia",R176&lt;&gt;""),"⚠️ Llegó con incidencia",IF(AND(P176&lt;&gt;"",N(P176)&lt;N(G176)),"🧩 Llegó incompleto","✅ Recibido")),IF(C176="","🛒 Por pedir",IF(AND(N176&lt;&gt;"",TODAY()&gt;N(N176)),"🐢 Retrasado","📦 Pedido (esperando)")))))</f>
        <v/>
      </c>
      <c r="L176" s="94" t="str">
        <f aca="true">IF(OR(N176="",C176="",K176="",K176="✖️ Anulado"),"",IF(O176&lt;&gt;"",MAX(0,O176-N176),IF(TODAY()&gt;N176,TODAY()-N176,"")))</f>
        <v/>
      </c>
      <c r="M176" s="87"/>
      <c r="N176" s="95" t="str">
        <f aca="false">IF(M176&lt;&gt;"",M176,IF(OR(C176="",D176=""),"",IFERROR(IF(INDEX(Listas!$E$5:$E$60,MATCH(D176,Listas!$B$5:$B$60,0))="","",C176+INDEX(Listas!$E$5:$E$60,MATCH(D176,Listas!$B$5:$B$60,0))),"")))</f>
        <v/>
      </c>
      <c r="O176" s="87"/>
      <c r="P176" s="90"/>
      <c r="Q176" s="96"/>
      <c r="R176" s="89"/>
      <c r="S176" s="94" t="str">
        <f aca="false">IF(OR(C176="",O176="",K176="✖️ Anulado"),"",O176-C176)</f>
        <v/>
      </c>
      <c r="T176" s="87"/>
      <c r="U176" s="92" t="str">
        <f aca="false">IF(OR(O176="",K176="✖️ Anulado",AND(T176&lt;&gt;"",T176&lt;&gt;"No")),"",N(H176)*IF(P176="",N(G176),N(P176)))</f>
        <v/>
      </c>
      <c r="V176" s="96"/>
      <c r="W176" s="89"/>
    </row>
    <row r="177" customFormat="false" ht="21" hidden="false" customHeight="true" outlineLevel="0" collapsed="false">
      <c r="A177" s="74" t="n">
        <v>173</v>
      </c>
      <c r="B177" s="86"/>
      <c r="C177" s="87"/>
      <c r="D177" s="88"/>
      <c r="E177" s="89"/>
      <c r="F177" s="89"/>
      <c r="G177" s="90"/>
      <c r="H177" s="91"/>
      <c r="I177" s="92" t="str">
        <f aca="false">IF(OR(G177="",H177=""),"",G177*H177)</f>
        <v/>
      </c>
      <c r="J177" s="89"/>
      <c r="K177" s="93" t="str">
        <f aca="true">IF(AND(F177="",D177=""),"",IF(V177="Sí","✖️ Anulado",IF(O177&lt;&gt;"",IF(OR(Q177="Con incidencia",R177&lt;&gt;""),"⚠️ Llegó con incidencia",IF(AND(P177&lt;&gt;"",N(P177)&lt;N(G177)),"🧩 Llegó incompleto","✅ Recibido")),IF(C177="","🛒 Por pedir",IF(AND(N177&lt;&gt;"",TODAY()&gt;N(N177)),"🐢 Retrasado","📦 Pedido (esperando)")))))</f>
        <v/>
      </c>
      <c r="L177" s="94" t="str">
        <f aca="true">IF(OR(N177="",C177="",K177="",K177="✖️ Anulado"),"",IF(O177&lt;&gt;"",MAX(0,O177-N177),IF(TODAY()&gt;N177,TODAY()-N177,"")))</f>
        <v/>
      </c>
      <c r="M177" s="87"/>
      <c r="N177" s="95" t="str">
        <f aca="false">IF(M177&lt;&gt;"",M177,IF(OR(C177="",D177=""),"",IFERROR(IF(INDEX(Listas!$E$5:$E$60,MATCH(D177,Listas!$B$5:$B$60,0))="","",C177+INDEX(Listas!$E$5:$E$60,MATCH(D177,Listas!$B$5:$B$60,0))),"")))</f>
        <v/>
      </c>
      <c r="O177" s="87"/>
      <c r="P177" s="90"/>
      <c r="Q177" s="96"/>
      <c r="R177" s="89"/>
      <c r="S177" s="94" t="str">
        <f aca="false">IF(OR(C177="",O177="",K177="✖️ Anulado"),"",O177-C177)</f>
        <v/>
      </c>
      <c r="T177" s="87"/>
      <c r="U177" s="92" t="str">
        <f aca="false">IF(OR(O177="",K177="✖️ Anulado",AND(T177&lt;&gt;"",T177&lt;&gt;"No")),"",N(H177)*IF(P177="",N(G177),N(P177)))</f>
        <v/>
      </c>
      <c r="V177" s="96"/>
      <c r="W177" s="89"/>
    </row>
    <row r="178" customFormat="false" ht="21" hidden="false" customHeight="true" outlineLevel="0" collapsed="false">
      <c r="A178" s="74" t="n">
        <v>174</v>
      </c>
      <c r="B178" s="86"/>
      <c r="C178" s="87"/>
      <c r="D178" s="88"/>
      <c r="E178" s="89"/>
      <c r="F178" s="89"/>
      <c r="G178" s="90"/>
      <c r="H178" s="91"/>
      <c r="I178" s="92" t="str">
        <f aca="false">IF(OR(G178="",H178=""),"",G178*H178)</f>
        <v/>
      </c>
      <c r="J178" s="89"/>
      <c r="K178" s="93" t="str">
        <f aca="true">IF(AND(F178="",D178=""),"",IF(V178="Sí","✖️ Anulado",IF(O178&lt;&gt;"",IF(OR(Q178="Con incidencia",R178&lt;&gt;""),"⚠️ Llegó con incidencia",IF(AND(P178&lt;&gt;"",N(P178)&lt;N(G178)),"🧩 Llegó incompleto","✅ Recibido")),IF(C178="","🛒 Por pedir",IF(AND(N178&lt;&gt;"",TODAY()&gt;N(N178)),"🐢 Retrasado","📦 Pedido (esperando)")))))</f>
        <v/>
      </c>
      <c r="L178" s="94" t="str">
        <f aca="true">IF(OR(N178="",C178="",K178="",K178="✖️ Anulado"),"",IF(O178&lt;&gt;"",MAX(0,O178-N178),IF(TODAY()&gt;N178,TODAY()-N178,"")))</f>
        <v/>
      </c>
      <c r="M178" s="87"/>
      <c r="N178" s="95" t="str">
        <f aca="false">IF(M178&lt;&gt;"",M178,IF(OR(C178="",D178=""),"",IFERROR(IF(INDEX(Listas!$E$5:$E$60,MATCH(D178,Listas!$B$5:$B$60,0))="","",C178+INDEX(Listas!$E$5:$E$60,MATCH(D178,Listas!$B$5:$B$60,0))),"")))</f>
        <v/>
      </c>
      <c r="O178" s="87"/>
      <c r="P178" s="90"/>
      <c r="Q178" s="96"/>
      <c r="R178" s="89"/>
      <c r="S178" s="94" t="str">
        <f aca="false">IF(OR(C178="",O178="",K178="✖️ Anulado"),"",O178-C178)</f>
        <v/>
      </c>
      <c r="T178" s="87"/>
      <c r="U178" s="92" t="str">
        <f aca="false">IF(OR(O178="",K178="✖️ Anulado",AND(T178&lt;&gt;"",T178&lt;&gt;"No")),"",N(H178)*IF(P178="",N(G178),N(P178)))</f>
        <v/>
      </c>
      <c r="V178" s="96"/>
      <c r="W178" s="89"/>
    </row>
    <row r="179" customFormat="false" ht="21" hidden="false" customHeight="true" outlineLevel="0" collapsed="false">
      <c r="A179" s="74" t="n">
        <v>175</v>
      </c>
      <c r="B179" s="86"/>
      <c r="C179" s="87"/>
      <c r="D179" s="88"/>
      <c r="E179" s="89"/>
      <c r="F179" s="89"/>
      <c r="G179" s="90"/>
      <c r="H179" s="91"/>
      <c r="I179" s="92" t="str">
        <f aca="false">IF(OR(G179="",H179=""),"",G179*H179)</f>
        <v/>
      </c>
      <c r="J179" s="89"/>
      <c r="K179" s="93" t="str">
        <f aca="true">IF(AND(F179="",D179=""),"",IF(V179="Sí","✖️ Anulado",IF(O179&lt;&gt;"",IF(OR(Q179="Con incidencia",R179&lt;&gt;""),"⚠️ Llegó con incidencia",IF(AND(P179&lt;&gt;"",N(P179)&lt;N(G179)),"🧩 Llegó incompleto","✅ Recibido")),IF(C179="","🛒 Por pedir",IF(AND(N179&lt;&gt;"",TODAY()&gt;N(N179)),"🐢 Retrasado","📦 Pedido (esperando)")))))</f>
        <v/>
      </c>
      <c r="L179" s="94" t="str">
        <f aca="true">IF(OR(N179="",C179="",K179="",K179="✖️ Anulado"),"",IF(O179&lt;&gt;"",MAX(0,O179-N179),IF(TODAY()&gt;N179,TODAY()-N179,"")))</f>
        <v/>
      </c>
      <c r="M179" s="87"/>
      <c r="N179" s="95" t="str">
        <f aca="false">IF(M179&lt;&gt;"",M179,IF(OR(C179="",D179=""),"",IFERROR(IF(INDEX(Listas!$E$5:$E$60,MATCH(D179,Listas!$B$5:$B$60,0))="","",C179+INDEX(Listas!$E$5:$E$60,MATCH(D179,Listas!$B$5:$B$60,0))),"")))</f>
        <v/>
      </c>
      <c r="O179" s="87"/>
      <c r="P179" s="90"/>
      <c r="Q179" s="96"/>
      <c r="R179" s="89"/>
      <c r="S179" s="94" t="str">
        <f aca="false">IF(OR(C179="",O179="",K179="✖️ Anulado"),"",O179-C179)</f>
        <v/>
      </c>
      <c r="T179" s="87"/>
      <c r="U179" s="92" t="str">
        <f aca="false">IF(OR(O179="",K179="✖️ Anulado",AND(T179&lt;&gt;"",T179&lt;&gt;"No")),"",N(H179)*IF(P179="",N(G179),N(P179)))</f>
        <v/>
      </c>
      <c r="V179" s="96"/>
      <c r="W179" s="89"/>
    </row>
    <row r="180" customFormat="false" ht="21" hidden="false" customHeight="true" outlineLevel="0" collapsed="false">
      <c r="A180" s="74" t="n">
        <v>176</v>
      </c>
      <c r="B180" s="86"/>
      <c r="C180" s="87"/>
      <c r="D180" s="88"/>
      <c r="E180" s="89"/>
      <c r="F180" s="89"/>
      <c r="G180" s="90"/>
      <c r="H180" s="91"/>
      <c r="I180" s="92" t="str">
        <f aca="false">IF(OR(G180="",H180=""),"",G180*H180)</f>
        <v/>
      </c>
      <c r="J180" s="89"/>
      <c r="K180" s="93" t="str">
        <f aca="true">IF(AND(F180="",D180=""),"",IF(V180="Sí","✖️ Anulado",IF(O180&lt;&gt;"",IF(OR(Q180="Con incidencia",R180&lt;&gt;""),"⚠️ Llegó con incidencia",IF(AND(P180&lt;&gt;"",N(P180)&lt;N(G180)),"🧩 Llegó incompleto","✅ Recibido")),IF(C180="","🛒 Por pedir",IF(AND(N180&lt;&gt;"",TODAY()&gt;N(N180)),"🐢 Retrasado","📦 Pedido (esperando)")))))</f>
        <v/>
      </c>
      <c r="L180" s="94" t="str">
        <f aca="true">IF(OR(N180="",C180="",K180="",K180="✖️ Anulado"),"",IF(O180&lt;&gt;"",MAX(0,O180-N180),IF(TODAY()&gt;N180,TODAY()-N180,"")))</f>
        <v/>
      </c>
      <c r="M180" s="87"/>
      <c r="N180" s="95" t="str">
        <f aca="false">IF(M180&lt;&gt;"",M180,IF(OR(C180="",D180=""),"",IFERROR(IF(INDEX(Listas!$E$5:$E$60,MATCH(D180,Listas!$B$5:$B$60,0))="","",C180+INDEX(Listas!$E$5:$E$60,MATCH(D180,Listas!$B$5:$B$60,0))),"")))</f>
        <v/>
      </c>
      <c r="O180" s="87"/>
      <c r="P180" s="90"/>
      <c r="Q180" s="96"/>
      <c r="R180" s="89"/>
      <c r="S180" s="94" t="str">
        <f aca="false">IF(OR(C180="",O180="",K180="✖️ Anulado"),"",O180-C180)</f>
        <v/>
      </c>
      <c r="T180" s="87"/>
      <c r="U180" s="92" t="str">
        <f aca="false">IF(OR(O180="",K180="✖️ Anulado",AND(T180&lt;&gt;"",T180&lt;&gt;"No")),"",N(H180)*IF(P180="",N(G180),N(P180)))</f>
        <v/>
      </c>
      <c r="V180" s="96"/>
      <c r="W180" s="89"/>
    </row>
    <row r="181" customFormat="false" ht="21" hidden="false" customHeight="true" outlineLevel="0" collapsed="false">
      <c r="A181" s="74" t="n">
        <v>177</v>
      </c>
      <c r="B181" s="86"/>
      <c r="C181" s="87"/>
      <c r="D181" s="88"/>
      <c r="E181" s="89"/>
      <c r="F181" s="89"/>
      <c r="G181" s="90"/>
      <c r="H181" s="91"/>
      <c r="I181" s="92" t="str">
        <f aca="false">IF(OR(G181="",H181=""),"",G181*H181)</f>
        <v/>
      </c>
      <c r="J181" s="89"/>
      <c r="K181" s="93" t="str">
        <f aca="true">IF(AND(F181="",D181=""),"",IF(V181="Sí","✖️ Anulado",IF(O181&lt;&gt;"",IF(OR(Q181="Con incidencia",R181&lt;&gt;""),"⚠️ Llegó con incidencia",IF(AND(P181&lt;&gt;"",N(P181)&lt;N(G181)),"🧩 Llegó incompleto","✅ Recibido")),IF(C181="","🛒 Por pedir",IF(AND(N181&lt;&gt;"",TODAY()&gt;N(N181)),"🐢 Retrasado","📦 Pedido (esperando)")))))</f>
        <v/>
      </c>
      <c r="L181" s="94" t="str">
        <f aca="true">IF(OR(N181="",C181="",K181="",K181="✖️ Anulado"),"",IF(O181&lt;&gt;"",MAX(0,O181-N181),IF(TODAY()&gt;N181,TODAY()-N181,"")))</f>
        <v/>
      </c>
      <c r="M181" s="87"/>
      <c r="N181" s="95" t="str">
        <f aca="false">IF(M181&lt;&gt;"",M181,IF(OR(C181="",D181=""),"",IFERROR(IF(INDEX(Listas!$E$5:$E$60,MATCH(D181,Listas!$B$5:$B$60,0))="","",C181+INDEX(Listas!$E$5:$E$60,MATCH(D181,Listas!$B$5:$B$60,0))),"")))</f>
        <v/>
      </c>
      <c r="O181" s="87"/>
      <c r="P181" s="90"/>
      <c r="Q181" s="96"/>
      <c r="R181" s="89"/>
      <c r="S181" s="94" t="str">
        <f aca="false">IF(OR(C181="",O181="",K181="✖️ Anulado"),"",O181-C181)</f>
        <v/>
      </c>
      <c r="T181" s="87"/>
      <c r="U181" s="92" t="str">
        <f aca="false">IF(OR(O181="",K181="✖️ Anulado",AND(T181&lt;&gt;"",T181&lt;&gt;"No")),"",N(H181)*IF(P181="",N(G181),N(P181)))</f>
        <v/>
      </c>
      <c r="V181" s="96"/>
      <c r="W181" s="89"/>
    </row>
    <row r="182" customFormat="false" ht="21" hidden="false" customHeight="true" outlineLevel="0" collapsed="false">
      <c r="A182" s="74" t="n">
        <v>178</v>
      </c>
      <c r="B182" s="86"/>
      <c r="C182" s="87"/>
      <c r="D182" s="88"/>
      <c r="E182" s="89"/>
      <c r="F182" s="89"/>
      <c r="G182" s="90"/>
      <c r="H182" s="91"/>
      <c r="I182" s="92" t="str">
        <f aca="false">IF(OR(G182="",H182=""),"",G182*H182)</f>
        <v/>
      </c>
      <c r="J182" s="89"/>
      <c r="K182" s="93" t="str">
        <f aca="true">IF(AND(F182="",D182=""),"",IF(V182="Sí","✖️ Anulado",IF(O182&lt;&gt;"",IF(OR(Q182="Con incidencia",R182&lt;&gt;""),"⚠️ Llegó con incidencia",IF(AND(P182&lt;&gt;"",N(P182)&lt;N(G182)),"🧩 Llegó incompleto","✅ Recibido")),IF(C182="","🛒 Por pedir",IF(AND(N182&lt;&gt;"",TODAY()&gt;N(N182)),"🐢 Retrasado","📦 Pedido (esperando)")))))</f>
        <v/>
      </c>
      <c r="L182" s="94" t="str">
        <f aca="true">IF(OR(N182="",C182="",K182="",K182="✖️ Anulado"),"",IF(O182&lt;&gt;"",MAX(0,O182-N182),IF(TODAY()&gt;N182,TODAY()-N182,"")))</f>
        <v/>
      </c>
      <c r="M182" s="87"/>
      <c r="N182" s="95" t="str">
        <f aca="false">IF(M182&lt;&gt;"",M182,IF(OR(C182="",D182=""),"",IFERROR(IF(INDEX(Listas!$E$5:$E$60,MATCH(D182,Listas!$B$5:$B$60,0))="","",C182+INDEX(Listas!$E$5:$E$60,MATCH(D182,Listas!$B$5:$B$60,0))),"")))</f>
        <v/>
      </c>
      <c r="O182" s="87"/>
      <c r="P182" s="90"/>
      <c r="Q182" s="96"/>
      <c r="R182" s="89"/>
      <c r="S182" s="94" t="str">
        <f aca="false">IF(OR(C182="",O182="",K182="✖️ Anulado"),"",O182-C182)</f>
        <v/>
      </c>
      <c r="T182" s="87"/>
      <c r="U182" s="92" t="str">
        <f aca="false">IF(OR(O182="",K182="✖️ Anulado",AND(T182&lt;&gt;"",T182&lt;&gt;"No")),"",N(H182)*IF(P182="",N(G182),N(P182)))</f>
        <v/>
      </c>
      <c r="V182" s="96"/>
      <c r="W182" s="89"/>
    </row>
    <row r="183" customFormat="false" ht="21" hidden="false" customHeight="true" outlineLevel="0" collapsed="false">
      <c r="A183" s="74" t="n">
        <v>179</v>
      </c>
      <c r="B183" s="86"/>
      <c r="C183" s="87"/>
      <c r="D183" s="88"/>
      <c r="E183" s="89"/>
      <c r="F183" s="89"/>
      <c r="G183" s="90"/>
      <c r="H183" s="91"/>
      <c r="I183" s="92" t="str">
        <f aca="false">IF(OR(G183="",H183=""),"",G183*H183)</f>
        <v/>
      </c>
      <c r="J183" s="89"/>
      <c r="K183" s="93" t="str">
        <f aca="true">IF(AND(F183="",D183=""),"",IF(V183="Sí","✖️ Anulado",IF(O183&lt;&gt;"",IF(OR(Q183="Con incidencia",R183&lt;&gt;""),"⚠️ Llegó con incidencia",IF(AND(P183&lt;&gt;"",N(P183)&lt;N(G183)),"🧩 Llegó incompleto","✅ Recibido")),IF(C183="","🛒 Por pedir",IF(AND(N183&lt;&gt;"",TODAY()&gt;N(N183)),"🐢 Retrasado","📦 Pedido (esperando)")))))</f>
        <v/>
      </c>
      <c r="L183" s="94" t="str">
        <f aca="true">IF(OR(N183="",C183="",K183="",K183="✖️ Anulado"),"",IF(O183&lt;&gt;"",MAX(0,O183-N183),IF(TODAY()&gt;N183,TODAY()-N183,"")))</f>
        <v/>
      </c>
      <c r="M183" s="87"/>
      <c r="N183" s="95" t="str">
        <f aca="false">IF(M183&lt;&gt;"",M183,IF(OR(C183="",D183=""),"",IFERROR(IF(INDEX(Listas!$E$5:$E$60,MATCH(D183,Listas!$B$5:$B$60,0))="","",C183+INDEX(Listas!$E$5:$E$60,MATCH(D183,Listas!$B$5:$B$60,0))),"")))</f>
        <v/>
      </c>
      <c r="O183" s="87"/>
      <c r="P183" s="90"/>
      <c r="Q183" s="96"/>
      <c r="R183" s="89"/>
      <c r="S183" s="94" t="str">
        <f aca="false">IF(OR(C183="",O183="",K183="✖️ Anulado"),"",O183-C183)</f>
        <v/>
      </c>
      <c r="T183" s="87"/>
      <c r="U183" s="92" t="str">
        <f aca="false">IF(OR(O183="",K183="✖️ Anulado",AND(T183&lt;&gt;"",T183&lt;&gt;"No")),"",N(H183)*IF(P183="",N(G183),N(P183)))</f>
        <v/>
      </c>
      <c r="V183" s="96"/>
      <c r="W183" s="89"/>
    </row>
    <row r="184" customFormat="false" ht="21" hidden="false" customHeight="true" outlineLevel="0" collapsed="false">
      <c r="A184" s="74" t="n">
        <v>180</v>
      </c>
      <c r="B184" s="86"/>
      <c r="C184" s="87"/>
      <c r="D184" s="88"/>
      <c r="E184" s="89"/>
      <c r="F184" s="89"/>
      <c r="G184" s="90"/>
      <c r="H184" s="91"/>
      <c r="I184" s="92" t="str">
        <f aca="false">IF(OR(G184="",H184=""),"",G184*H184)</f>
        <v/>
      </c>
      <c r="J184" s="89"/>
      <c r="K184" s="93" t="str">
        <f aca="true">IF(AND(F184="",D184=""),"",IF(V184="Sí","✖️ Anulado",IF(O184&lt;&gt;"",IF(OR(Q184="Con incidencia",R184&lt;&gt;""),"⚠️ Llegó con incidencia",IF(AND(P184&lt;&gt;"",N(P184)&lt;N(G184)),"🧩 Llegó incompleto","✅ Recibido")),IF(C184="","🛒 Por pedir",IF(AND(N184&lt;&gt;"",TODAY()&gt;N(N184)),"🐢 Retrasado","📦 Pedido (esperando)")))))</f>
        <v/>
      </c>
      <c r="L184" s="94" t="str">
        <f aca="true">IF(OR(N184="",C184="",K184="",K184="✖️ Anulado"),"",IF(O184&lt;&gt;"",MAX(0,O184-N184),IF(TODAY()&gt;N184,TODAY()-N184,"")))</f>
        <v/>
      </c>
      <c r="M184" s="87"/>
      <c r="N184" s="95" t="str">
        <f aca="false">IF(M184&lt;&gt;"",M184,IF(OR(C184="",D184=""),"",IFERROR(IF(INDEX(Listas!$E$5:$E$60,MATCH(D184,Listas!$B$5:$B$60,0))="","",C184+INDEX(Listas!$E$5:$E$60,MATCH(D184,Listas!$B$5:$B$60,0))),"")))</f>
        <v/>
      </c>
      <c r="O184" s="87"/>
      <c r="P184" s="90"/>
      <c r="Q184" s="96"/>
      <c r="R184" s="89"/>
      <c r="S184" s="94" t="str">
        <f aca="false">IF(OR(C184="",O184="",K184="✖️ Anulado"),"",O184-C184)</f>
        <v/>
      </c>
      <c r="T184" s="87"/>
      <c r="U184" s="92" t="str">
        <f aca="false">IF(OR(O184="",K184="✖️ Anulado",AND(T184&lt;&gt;"",T184&lt;&gt;"No")),"",N(H184)*IF(P184="",N(G184),N(P184)))</f>
        <v/>
      </c>
      <c r="V184" s="96"/>
      <c r="W184" s="89"/>
    </row>
    <row r="185" customFormat="false" ht="21" hidden="false" customHeight="true" outlineLevel="0" collapsed="false">
      <c r="A185" s="74" t="n">
        <v>181</v>
      </c>
      <c r="B185" s="86"/>
      <c r="C185" s="87"/>
      <c r="D185" s="88"/>
      <c r="E185" s="89"/>
      <c r="F185" s="89"/>
      <c r="G185" s="90"/>
      <c r="H185" s="91"/>
      <c r="I185" s="92" t="str">
        <f aca="false">IF(OR(G185="",H185=""),"",G185*H185)</f>
        <v/>
      </c>
      <c r="J185" s="89"/>
      <c r="K185" s="93" t="str">
        <f aca="true">IF(AND(F185="",D185=""),"",IF(V185="Sí","✖️ Anulado",IF(O185&lt;&gt;"",IF(OR(Q185="Con incidencia",R185&lt;&gt;""),"⚠️ Llegó con incidencia",IF(AND(P185&lt;&gt;"",N(P185)&lt;N(G185)),"🧩 Llegó incompleto","✅ Recibido")),IF(C185="","🛒 Por pedir",IF(AND(N185&lt;&gt;"",TODAY()&gt;N(N185)),"🐢 Retrasado","📦 Pedido (esperando)")))))</f>
        <v/>
      </c>
      <c r="L185" s="94" t="str">
        <f aca="true">IF(OR(N185="",C185="",K185="",K185="✖️ Anulado"),"",IF(O185&lt;&gt;"",MAX(0,O185-N185),IF(TODAY()&gt;N185,TODAY()-N185,"")))</f>
        <v/>
      </c>
      <c r="M185" s="87"/>
      <c r="N185" s="95" t="str">
        <f aca="false">IF(M185&lt;&gt;"",M185,IF(OR(C185="",D185=""),"",IFERROR(IF(INDEX(Listas!$E$5:$E$60,MATCH(D185,Listas!$B$5:$B$60,0))="","",C185+INDEX(Listas!$E$5:$E$60,MATCH(D185,Listas!$B$5:$B$60,0))),"")))</f>
        <v/>
      </c>
      <c r="O185" s="87"/>
      <c r="P185" s="90"/>
      <c r="Q185" s="96"/>
      <c r="R185" s="89"/>
      <c r="S185" s="94" t="str">
        <f aca="false">IF(OR(C185="",O185="",K185="✖️ Anulado"),"",O185-C185)</f>
        <v/>
      </c>
      <c r="T185" s="87"/>
      <c r="U185" s="92" t="str">
        <f aca="false">IF(OR(O185="",K185="✖️ Anulado",AND(T185&lt;&gt;"",T185&lt;&gt;"No")),"",N(H185)*IF(P185="",N(G185),N(P185)))</f>
        <v/>
      </c>
      <c r="V185" s="96"/>
      <c r="W185" s="89"/>
    </row>
    <row r="186" customFormat="false" ht="21" hidden="false" customHeight="true" outlineLevel="0" collapsed="false">
      <c r="A186" s="74" t="n">
        <v>182</v>
      </c>
      <c r="B186" s="86"/>
      <c r="C186" s="87"/>
      <c r="D186" s="88"/>
      <c r="E186" s="89"/>
      <c r="F186" s="89"/>
      <c r="G186" s="90"/>
      <c r="H186" s="91"/>
      <c r="I186" s="92" t="str">
        <f aca="false">IF(OR(G186="",H186=""),"",G186*H186)</f>
        <v/>
      </c>
      <c r="J186" s="89"/>
      <c r="K186" s="93" t="str">
        <f aca="true">IF(AND(F186="",D186=""),"",IF(V186="Sí","✖️ Anulado",IF(O186&lt;&gt;"",IF(OR(Q186="Con incidencia",R186&lt;&gt;""),"⚠️ Llegó con incidencia",IF(AND(P186&lt;&gt;"",N(P186)&lt;N(G186)),"🧩 Llegó incompleto","✅ Recibido")),IF(C186="","🛒 Por pedir",IF(AND(N186&lt;&gt;"",TODAY()&gt;N(N186)),"🐢 Retrasado","📦 Pedido (esperando)")))))</f>
        <v/>
      </c>
      <c r="L186" s="94" t="str">
        <f aca="true">IF(OR(N186="",C186="",K186="",K186="✖️ Anulado"),"",IF(O186&lt;&gt;"",MAX(0,O186-N186),IF(TODAY()&gt;N186,TODAY()-N186,"")))</f>
        <v/>
      </c>
      <c r="M186" s="87"/>
      <c r="N186" s="95" t="str">
        <f aca="false">IF(M186&lt;&gt;"",M186,IF(OR(C186="",D186=""),"",IFERROR(IF(INDEX(Listas!$E$5:$E$60,MATCH(D186,Listas!$B$5:$B$60,0))="","",C186+INDEX(Listas!$E$5:$E$60,MATCH(D186,Listas!$B$5:$B$60,0))),"")))</f>
        <v/>
      </c>
      <c r="O186" s="87"/>
      <c r="P186" s="90"/>
      <c r="Q186" s="96"/>
      <c r="R186" s="89"/>
      <c r="S186" s="94" t="str">
        <f aca="false">IF(OR(C186="",O186="",K186="✖️ Anulado"),"",O186-C186)</f>
        <v/>
      </c>
      <c r="T186" s="87"/>
      <c r="U186" s="92" t="str">
        <f aca="false">IF(OR(O186="",K186="✖️ Anulado",AND(T186&lt;&gt;"",T186&lt;&gt;"No")),"",N(H186)*IF(P186="",N(G186),N(P186)))</f>
        <v/>
      </c>
      <c r="V186" s="96"/>
      <c r="W186" s="89"/>
    </row>
    <row r="187" customFormat="false" ht="21" hidden="false" customHeight="true" outlineLevel="0" collapsed="false">
      <c r="A187" s="74" t="n">
        <v>183</v>
      </c>
      <c r="B187" s="86"/>
      <c r="C187" s="87"/>
      <c r="D187" s="88"/>
      <c r="E187" s="89"/>
      <c r="F187" s="89"/>
      <c r="G187" s="90"/>
      <c r="H187" s="91"/>
      <c r="I187" s="92" t="str">
        <f aca="false">IF(OR(G187="",H187=""),"",G187*H187)</f>
        <v/>
      </c>
      <c r="J187" s="89"/>
      <c r="K187" s="93" t="str">
        <f aca="true">IF(AND(F187="",D187=""),"",IF(V187="Sí","✖️ Anulado",IF(O187&lt;&gt;"",IF(OR(Q187="Con incidencia",R187&lt;&gt;""),"⚠️ Llegó con incidencia",IF(AND(P187&lt;&gt;"",N(P187)&lt;N(G187)),"🧩 Llegó incompleto","✅ Recibido")),IF(C187="","🛒 Por pedir",IF(AND(N187&lt;&gt;"",TODAY()&gt;N(N187)),"🐢 Retrasado","📦 Pedido (esperando)")))))</f>
        <v/>
      </c>
      <c r="L187" s="94" t="str">
        <f aca="true">IF(OR(N187="",C187="",K187="",K187="✖️ Anulado"),"",IF(O187&lt;&gt;"",MAX(0,O187-N187),IF(TODAY()&gt;N187,TODAY()-N187,"")))</f>
        <v/>
      </c>
      <c r="M187" s="87"/>
      <c r="N187" s="95" t="str">
        <f aca="false">IF(M187&lt;&gt;"",M187,IF(OR(C187="",D187=""),"",IFERROR(IF(INDEX(Listas!$E$5:$E$60,MATCH(D187,Listas!$B$5:$B$60,0))="","",C187+INDEX(Listas!$E$5:$E$60,MATCH(D187,Listas!$B$5:$B$60,0))),"")))</f>
        <v/>
      </c>
      <c r="O187" s="87"/>
      <c r="P187" s="90"/>
      <c r="Q187" s="96"/>
      <c r="R187" s="89"/>
      <c r="S187" s="94" t="str">
        <f aca="false">IF(OR(C187="",O187="",K187="✖️ Anulado"),"",O187-C187)</f>
        <v/>
      </c>
      <c r="T187" s="87"/>
      <c r="U187" s="92" t="str">
        <f aca="false">IF(OR(O187="",K187="✖️ Anulado",AND(T187&lt;&gt;"",T187&lt;&gt;"No")),"",N(H187)*IF(P187="",N(G187),N(P187)))</f>
        <v/>
      </c>
      <c r="V187" s="96"/>
      <c r="W187" s="89"/>
    </row>
    <row r="188" customFormat="false" ht="21" hidden="false" customHeight="true" outlineLevel="0" collapsed="false">
      <c r="A188" s="74" t="n">
        <v>184</v>
      </c>
      <c r="B188" s="86"/>
      <c r="C188" s="87"/>
      <c r="D188" s="88"/>
      <c r="E188" s="89"/>
      <c r="F188" s="89"/>
      <c r="G188" s="90"/>
      <c r="H188" s="91"/>
      <c r="I188" s="92" t="str">
        <f aca="false">IF(OR(G188="",H188=""),"",G188*H188)</f>
        <v/>
      </c>
      <c r="J188" s="89"/>
      <c r="K188" s="93" t="str">
        <f aca="true">IF(AND(F188="",D188=""),"",IF(V188="Sí","✖️ Anulado",IF(O188&lt;&gt;"",IF(OR(Q188="Con incidencia",R188&lt;&gt;""),"⚠️ Llegó con incidencia",IF(AND(P188&lt;&gt;"",N(P188)&lt;N(G188)),"🧩 Llegó incompleto","✅ Recibido")),IF(C188="","🛒 Por pedir",IF(AND(N188&lt;&gt;"",TODAY()&gt;N(N188)),"🐢 Retrasado","📦 Pedido (esperando)")))))</f>
        <v/>
      </c>
      <c r="L188" s="94" t="str">
        <f aca="true">IF(OR(N188="",C188="",K188="",K188="✖️ Anulado"),"",IF(O188&lt;&gt;"",MAX(0,O188-N188),IF(TODAY()&gt;N188,TODAY()-N188,"")))</f>
        <v/>
      </c>
      <c r="M188" s="87"/>
      <c r="N188" s="95" t="str">
        <f aca="false">IF(M188&lt;&gt;"",M188,IF(OR(C188="",D188=""),"",IFERROR(IF(INDEX(Listas!$E$5:$E$60,MATCH(D188,Listas!$B$5:$B$60,0))="","",C188+INDEX(Listas!$E$5:$E$60,MATCH(D188,Listas!$B$5:$B$60,0))),"")))</f>
        <v/>
      </c>
      <c r="O188" s="87"/>
      <c r="P188" s="90"/>
      <c r="Q188" s="96"/>
      <c r="R188" s="89"/>
      <c r="S188" s="94" t="str">
        <f aca="false">IF(OR(C188="",O188="",K188="✖️ Anulado"),"",O188-C188)</f>
        <v/>
      </c>
      <c r="T188" s="87"/>
      <c r="U188" s="92" t="str">
        <f aca="false">IF(OR(O188="",K188="✖️ Anulado",AND(T188&lt;&gt;"",T188&lt;&gt;"No")),"",N(H188)*IF(P188="",N(G188),N(P188)))</f>
        <v/>
      </c>
      <c r="V188" s="96"/>
      <c r="W188" s="89"/>
    </row>
    <row r="189" customFormat="false" ht="21" hidden="false" customHeight="true" outlineLevel="0" collapsed="false">
      <c r="A189" s="74" t="n">
        <v>185</v>
      </c>
      <c r="B189" s="86"/>
      <c r="C189" s="87"/>
      <c r="D189" s="88"/>
      <c r="E189" s="89"/>
      <c r="F189" s="89"/>
      <c r="G189" s="90"/>
      <c r="H189" s="91"/>
      <c r="I189" s="92" t="str">
        <f aca="false">IF(OR(G189="",H189=""),"",G189*H189)</f>
        <v/>
      </c>
      <c r="J189" s="89"/>
      <c r="K189" s="93" t="str">
        <f aca="true">IF(AND(F189="",D189=""),"",IF(V189="Sí","✖️ Anulado",IF(O189&lt;&gt;"",IF(OR(Q189="Con incidencia",R189&lt;&gt;""),"⚠️ Llegó con incidencia",IF(AND(P189&lt;&gt;"",N(P189)&lt;N(G189)),"🧩 Llegó incompleto","✅ Recibido")),IF(C189="","🛒 Por pedir",IF(AND(N189&lt;&gt;"",TODAY()&gt;N(N189)),"🐢 Retrasado","📦 Pedido (esperando)")))))</f>
        <v/>
      </c>
      <c r="L189" s="94" t="str">
        <f aca="true">IF(OR(N189="",C189="",K189="",K189="✖️ Anulado"),"",IF(O189&lt;&gt;"",MAX(0,O189-N189),IF(TODAY()&gt;N189,TODAY()-N189,"")))</f>
        <v/>
      </c>
      <c r="M189" s="87"/>
      <c r="N189" s="95" t="str">
        <f aca="false">IF(M189&lt;&gt;"",M189,IF(OR(C189="",D189=""),"",IFERROR(IF(INDEX(Listas!$E$5:$E$60,MATCH(D189,Listas!$B$5:$B$60,0))="","",C189+INDEX(Listas!$E$5:$E$60,MATCH(D189,Listas!$B$5:$B$60,0))),"")))</f>
        <v/>
      </c>
      <c r="O189" s="87"/>
      <c r="P189" s="90"/>
      <c r="Q189" s="96"/>
      <c r="R189" s="89"/>
      <c r="S189" s="94" t="str">
        <f aca="false">IF(OR(C189="",O189="",K189="✖️ Anulado"),"",O189-C189)</f>
        <v/>
      </c>
      <c r="T189" s="87"/>
      <c r="U189" s="92" t="str">
        <f aca="false">IF(OR(O189="",K189="✖️ Anulado",AND(T189&lt;&gt;"",T189&lt;&gt;"No")),"",N(H189)*IF(P189="",N(G189),N(P189)))</f>
        <v/>
      </c>
      <c r="V189" s="96"/>
      <c r="W189" s="89"/>
    </row>
    <row r="190" customFormat="false" ht="21" hidden="false" customHeight="true" outlineLevel="0" collapsed="false">
      <c r="A190" s="74" t="n">
        <v>186</v>
      </c>
      <c r="B190" s="86"/>
      <c r="C190" s="87"/>
      <c r="D190" s="88"/>
      <c r="E190" s="89"/>
      <c r="F190" s="89"/>
      <c r="G190" s="90"/>
      <c r="H190" s="91"/>
      <c r="I190" s="92" t="str">
        <f aca="false">IF(OR(G190="",H190=""),"",G190*H190)</f>
        <v/>
      </c>
      <c r="J190" s="89"/>
      <c r="K190" s="93" t="str">
        <f aca="true">IF(AND(F190="",D190=""),"",IF(V190="Sí","✖️ Anulado",IF(O190&lt;&gt;"",IF(OR(Q190="Con incidencia",R190&lt;&gt;""),"⚠️ Llegó con incidencia",IF(AND(P190&lt;&gt;"",N(P190)&lt;N(G190)),"🧩 Llegó incompleto","✅ Recibido")),IF(C190="","🛒 Por pedir",IF(AND(N190&lt;&gt;"",TODAY()&gt;N(N190)),"🐢 Retrasado","📦 Pedido (esperando)")))))</f>
        <v/>
      </c>
      <c r="L190" s="94" t="str">
        <f aca="true">IF(OR(N190="",C190="",K190="",K190="✖️ Anulado"),"",IF(O190&lt;&gt;"",MAX(0,O190-N190),IF(TODAY()&gt;N190,TODAY()-N190,"")))</f>
        <v/>
      </c>
      <c r="M190" s="87"/>
      <c r="N190" s="95" t="str">
        <f aca="false">IF(M190&lt;&gt;"",M190,IF(OR(C190="",D190=""),"",IFERROR(IF(INDEX(Listas!$E$5:$E$60,MATCH(D190,Listas!$B$5:$B$60,0))="","",C190+INDEX(Listas!$E$5:$E$60,MATCH(D190,Listas!$B$5:$B$60,0))),"")))</f>
        <v/>
      </c>
      <c r="O190" s="87"/>
      <c r="P190" s="90"/>
      <c r="Q190" s="96"/>
      <c r="R190" s="89"/>
      <c r="S190" s="94" t="str">
        <f aca="false">IF(OR(C190="",O190="",K190="✖️ Anulado"),"",O190-C190)</f>
        <v/>
      </c>
      <c r="T190" s="87"/>
      <c r="U190" s="92" t="str">
        <f aca="false">IF(OR(O190="",K190="✖️ Anulado",AND(T190&lt;&gt;"",T190&lt;&gt;"No")),"",N(H190)*IF(P190="",N(G190),N(P190)))</f>
        <v/>
      </c>
      <c r="V190" s="96"/>
      <c r="W190" s="89"/>
    </row>
    <row r="191" customFormat="false" ht="21" hidden="false" customHeight="true" outlineLevel="0" collapsed="false">
      <c r="A191" s="74" t="n">
        <v>187</v>
      </c>
      <c r="B191" s="86"/>
      <c r="C191" s="87"/>
      <c r="D191" s="88"/>
      <c r="E191" s="89"/>
      <c r="F191" s="89"/>
      <c r="G191" s="90"/>
      <c r="H191" s="91"/>
      <c r="I191" s="92" t="str">
        <f aca="false">IF(OR(G191="",H191=""),"",G191*H191)</f>
        <v/>
      </c>
      <c r="J191" s="89"/>
      <c r="K191" s="93" t="str">
        <f aca="true">IF(AND(F191="",D191=""),"",IF(V191="Sí","✖️ Anulado",IF(O191&lt;&gt;"",IF(OR(Q191="Con incidencia",R191&lt;&gt;""),"⚠️ Llegó con incidencia",IF(AND(P191&lt;&gt;"",N(P191)&lt;N(G191)),"🧩 Llegó incompleto","✅ Recibido")),IF(C191="","🛒 Por pedir",IF(AND(N191&lt;&gt;"",TODAY()&gt;N(N191)),"🐢 Retrasado","📦 Pedido (esperando)")))))</f>
        <v/>
      </c>
      <c r="L191" s="94" t="str">
        <f aca="true">IF(OR(N191="",C191="",K191="",K191="✖️ Anulado"),"",IF(O191&lt;&gt;"",MAX(0,O191-N191),IF(TODAY()&gt;N191,TODAY()-N191,"")))</f>
        <v/>
      </c>
      <c r="M191" s="87"/>
      <c r="N191" s="95" t="str">
        <f aca="false">IF(M191&lt;&gt;"",M191,IF(OR(C191="",D191=""),"",IFERROR(IF(INDEX(Listas!$E$5:$E$60,MATCH(D191,Listas!$B$5:$B$60,0))="","",C191+INDEX(Listas!$E$5:$E$60,MATCH(D191,Listas!$B$5:$B$60,0))),"")))</f>
        <v/>
      </c>
      <c r="O191" s="87"/>
      <c r="P191" s="90"/>
      <c r="Q191" s="96"/>
      <c r="R191" s="89"/>
      <c r="S191" s="94" t="str">
        <f aca="false">IF(OR(C191="",O191="",K191="✖️ Anulado"),"",O191-C191)</f>
        <v/>
      </c>
      <c r="T191" s="87"/>
      <c r="U191" s="92" t="str">
        <f aca="false">IF(OR(O191="",K191="✖️ Anulado",AND(T191&lt;&gt;"",T191&lt;&gt;"No")),"",N(H191)*IF(P191="",N(G191),N(P191)))</f>
        <v/>
      </c>
      <c r="V191" s="96"/>
      <c r="W191" s="89"/>
    </row>
    <row r="192" customFormat="false" ht="21" hidden="false" customHeight="true" outlineLevel="0" collapsed="false">
      <c r="A192" s="74" t="n">
        <v>188</v>
      </c>
      <c r="B192" s="86"/>
      <c r="C192" s="87"/>
      <c r="D192" s="88"/>
      <c r="E192" s="89"/>
      <c r="F192" s="89"/>
      <c r="G192" s="90"/>
      <c r="H192" s="91"/>
      <c r="I192" s="92" t="str">
        <f aca="false">IF(OR(G192="",H192=""),"",G192*H192)</f>
        <v/>
      </c>
      <c r="J192" s="89"/>
      <c r="K192" s="93" t="str">
        <f aca="true">IF(AND(F192="",D192=""),"",IF(V192="Sí","✖️ Anulado",IF(O192&lt;&gt;"",IF(OR(Q192="Con incidencia",R192&lt;&gt;""),"⚠️ Llegó con incidencia",IF(AND(P192&lt;&gt;"",N(P192)&lt;N(G192)),"🧩 Llegó incompleto","✅ Recibido")),IF(C192="","🛒 Por pedir",IF(AND(N192&lt;&gt;"",TODAY()&gt;N(N192)),"🐢 Retrasado","📦 Pedido (esperando)")))))</f>
        <v/>
      </c>
      <c r="L192" s="94" t="str">
        <f aca="true">IF(OR(N192="",C192="",K192="",K192="✖️ Anulado"),"",IF(O192&lt;&gt;"",MAX(0,O192-N192),IF(TODAY()&gt;N192,TODAY()-N192,"")))</f>
        <v/>
      </c>
      <c r="M192" s="87"/>
      <c r="N192" s="95" t="str">
        <f aca="false">IF(M192&lt;&gt;"",M192,IF(OR(C192="",D192=""),"",IFERROR(IF(INDEX(Listas!$E$5:$E$60,MATCH(D192,Listas!$B$5:$B$60,0))="","",C192+INDEX(Listas!$E$5:$E$60,MATCH(D192,Listas!$B$5:$B$60,0))),"")))</f>
        <v/>
      </c>
      <c r="O192" s="87"/>
      <c r="P192" s="90"/>
      <c r="Q192" s="96"/>
      <c r="R192" s="89"/>
      <c r="S192" s="94" t="str">
        <f aca="false">IF(OR(C192="",O192="",K192="✖️ Anulado"),"",O192-C192)</f>
        <v/>
      </c>
      <c r="T192" s="87"/>
      <c r="U192" s="92" t="str">
        <f aca="false">IF(OR(O192="",K192="✖️ Anulado",AND(T192&lt;&gt;"",T192&lt;&gt;"No")),"",N(H192)*IF(P192="",N(G192),N(P192)))</f>
        <v/>
      </c>
      <c r="V192" s="96"/>
      <c r="W192" s="89"/>
    </row>
    <row r="193" customFormat="false" ht="21" hidden="false" customHeight="true" outlineLevel="0" collapsed="false">
      <c r="A193" s="74" t="n">
        <v>189</v>
      </c>
      <c r="B193" s="86"/>
      <c r="C193" s="87"/>
      <c r="D193" s="88"/>
      <c r="E193" s="89"/>
      <c r="F193" s="89"/>
      <c r="G193" s="90"/>
      <c r="H193" s="91"/>
      <c r="I193" s="92" t="str">
        <f aca="false">IF(OR(G193="",H193=""),"",G193*H193)</f>
        <v/>
      </c>
      <c r="J193" s="89"/>
      <c r="K193" s="93" t="str">
        <f aca="true">IF(AND(F193="",D193=""),"",IF(V193="Sí","✖️ Anulado",IF(O193&lt;&gt;"",IF(OR(Q193="Con incidencia",R193&lt;&gt;""),"⚠️ Llegó con incidencia",IF(AND(P193&lt;&gt;"",N(P193)&lt;N(G193)),"🧩 Llegó incompleto","✅ Recibido")),IF(C193="","🛒 Por pedir",IF(AND(N193&lt;&gt;"",TODAY()&gt;N(N193)),"🐢 Retrasado","📦 Pedido (esperando)")))))</f>
        <v/>
      </c>
      <c r="L193" s="94" t="str">
        <f aca="true">IF(OR(N193="",C193="",K193="",K193="✖️ Anulado"),"",IF(O193&lt;&gt;"",MAX(0,O193-N193),IF(TODAY()&gt;N193,TODAY()-N193,"")))</f>
        <v/>
      </c>
      <c r="M193" s="87"/>
      <c r="N193" s="95" t="str">
        <f aca="false">IF(M193&lt;&gt;"",M193,IF(OR(C193="",D193=""),"",IFERROR(IF(INDEX(Listas!$E$5:$E$60,MATCH(D193,Listas!$B$5:$B$60,0))="","",C193+INDEX(Listas!$E$5:$E$60,MATCH(D193,Listas!$B$5:$B$60,0))),"")))</f>
        <v/>
      </c>
      <c r="O193" s="87"/>
      <c r="P193" s="90"/>
      <c r="Q193" s="96"/>
      <c r="R193" s="89"/>
      <c r="S193" s="94" t="str">
        <f aca="false">IF(OR(C193="",O193="",K193="✖️ Anulado"),"",O193-C193)</f>
        <v/>
      </c>
      <c r="T193" s="87"/>
      <c r="U193" s="92" t="str">
        <f aca="false">IF(OR(O193="",K193="✖️ Anulado",AND(T193&lt;&gt;"",T193&lt;&gt;"No")),"",N(H193)*IF(P193="",N(G193),N(P193)))</f>
        <v/>
      </c>
      <c r="V193" s="96"/>
      <c r="W193" s="89"/>
    </row>
    <row r="194" customFormat="false" ht="21" hidden="false" customHeight="true" outlineLevel="0" collapsed="false">
      <c r="A194" s="74" t="n">
        <v>190</v>
      </c>
      <c r="B194" s="86"/>
      <c r="C194" s="87"/>
      <c r="D194" s="88"/>
      <c r="E194" s="89"/>
      <c r="F194" s="89"/>
      <c r="G194" s="90"/>
      <c r="H194" s="91"/>
      <c r="I194" s="92" t="str">
        <f aca="false">IF(OR(G194="",H194=""),"",G194*H194)</f>
        <v/>
      </c>
      <c r="J194" s="89"/>
      <c r="K194" s="93" t="str">
        <f aca="true">IF(AND(F194="",D194=""),"",IF(V194="Sí","✖️ Anulado",IF(O194&lt;&gt;"",IF(OR(Q194="Con incidencia",R194&lt;&gt;""),"⚠️ Llegó con incidencia",IF(AND(P194&lt;&gt;"",N(P194)&lt;N(G194)),"🧩 Llegó incompleto","✅ Recibido")),IF(C194="","🛒 Por pedir",IF(AND(N194&lt;&gt;"",TODAY()&gt;N(N194)),"🐢 Retrasado","📦 Pedido (esperando)")))))</f>
        <v/>
      </c>
      <c r="L194" s="94" t="str">
        <f aca="true">IF(OR(N194="",C194="",K194="",K194="✖️ Anulado"),"",IF(O194&lt;&gt;"",MAX(0,O194-N194),IF(TODAY()&gt;N194,TODAY()-N194,"")))</f>
        <v/>
      </c>
      <c r="M194" s="87"/>
      <c r="N194" s="95" t="str">
        <f aca="false">IF(M194&lt;&gt;"",M194,IF(OR(C194="",D194=""),"",IFERROR(IF(INDEX(Listas!$E$5:$E$60,MATCH(D194,Listas!$B$5:$B$60,0))="","",C194+INDEX(Listas!$E$5:$E$60,MATCH(D194,Listas!$B$5:$B$60,0))),"")))</f>
        <v/>
      </c>
      <c r="O194" s="87"/>
      <c r="P194" s="90"/>
      <c r="Q194" s="96"/>
      <c r="R194" s="89"/>
      <c r="S194" s="94" t="str">
        <f aca="false">IF(OR(C194="",O194="",K194="✖️ Anulado"),"",O194-C194)</f>
        <v/>
      </c>
      <c r="T194" s="87"/>
      <c r="U194" s="92" t="str">
        <f aca="false">IF(OR(O194="",K194="✖️ Anulado",AND(T194&lt;&gt;"",T194&lt;&gt;"No")),"",N(H194)*IF(P194="",N(G194),N(P194)))</f>
        <v/>
      </c>
      <c r="V194" s="96"/>
      <c r="W194" s="89"/>
    </row>
    <row r="195" customFormat="false" ht="21" hidden="false" customHeight="true" outlineLevel="0" collapsed="false">
      <c r="A195" s="74" t="n">
        <v>191</v>
      </c>
      <c r="B195" s="86"/>
      <c r="C195" s="87"/>
      <c r="D195" s="88"/>
      <c r="E195" s="89"/>
      <c r="F195" s="89"/>
      <c r="G195" s="90"/>
      <c r="H195" s="91"/>
      <c r="I195" s="92" t="str">
        <f aca="false">IF(OR(G195="",H195=""),"",G195*H195)</f>
        <v/>
      </c>
      <c r="J195" s="89"/>
      <c r="K195" s="93" t="str">
        <f aca="true">IF(AND(F195="",D195=""),"",IF(V195="Sí","✖️ Anulado",IF(O195&lt;&gt;"",IF(OR(Q195="Con incidencia",R195&lt;&gt;""),"⚠️ Llegó con incidencia",IF(AND(P195&lt;&gt;"",N(P195)&lt;N(G195)),"🧩 Llegó incompleto","✅ Recibido")),IF(C195="","🛒 Por pedir",IF(AND(N195&lt;&gt;"",TODAY()&gt;N(N195)),"🐢 Retrasado","📦 Pedido (esperando)")))))</f>
        <v/>
      </c>
      <c r="L195" s="94" t="str">
        <f aca="true">IF(OR(N195="",C195="",K195="",K195="✖️ Anulado"),"",IF(O195&lt;&gt;"",MAX(0,O195-N195),IF(TODAY()&gt;N195,TODAY()-N195,"")))</f>
        <v/>
      </c>
      <c r="M195" s="87"/>
      <c r="N195" s="95" t="str">
        <f aca="false">IF(M195&lt;&gt;"",M195,IF(OR(C195="",D195=""),"",IFERROR(IF(INDEX(Listas!$E$5:$E$60,MATCH(D195,Listas!$B$5:$B$60,0))="","",C195+INDEX(Listas!$E$5:$E$60,MATCH(D195,Listas!$B$5:$B$60,0))),"")))</f>
        <v/>
      </c>
      <c r="O195" s="87"/>
      <c r="P195" s="90"/>
      <c r="Q195" s="96"/>
      <c r="R195" s="89"/>
      <c r="S195" s="94" t="str">
        <f aca="false">IF(OR(C195="",O195="",K195="✖️ Anulado"),"",O195-C195)</f>
        <v/>
      </c>
      <c r="T195" s="87"/>
      <c r="U195" s="92" t="str">
        <f aca="false">IF(OR(O195="",K195="✖️ Anulado",AND(T195&lt;&gt;"",T195&lt;&gt;"No")),"",N(H195)*IF(P195="",N(G195),N(P195)))</f>
        <v/>
      </c>
      <c r="V195" s="96"/>
      <c r="W195" s="89"/>
    </row>
    <row r="196" customFormat="false" ht="21" hidden="false" customHeight="true" outlineLevel="0" collapsed="false">
      <c r="A196" s="74" t="n">
        <v>192</v>
      </c>
      <c r="B196" s="86"/>
      <c r="C196" s="87"/>
      <c r="D196" s="88"/>
      <c r="E196" s="89"/>
      <c r="F196" s="89"/>
      <c r="G196" s="90"/>
      <c r="H196" s="91"/>
      <c r="I196" s="92" t="str">
        <f aca="false">IF(OR(G196="",H196=""),"",G196*H196)</f>
        <v/>
      </c>
      <c r="J196" s="89"/>
      <c r="K196" s="93" t="str">
        <f aca="true">IF(AND(F196="",D196=""),"",IF(V196="Sí","✖️ Anulado",IF(O196&lt;&gt;"",IF(OR(Q196="Con incidencia",R196&lt;&gt;""),"⚠️ Llegó con incidencia",IF(AND(P196&lt;&gt;"",N(P196)&lt;N(G196)),"🧩 Llegó incompleto","✅ Recibido")),IF(C196="","🛒 Por pedir",IF(AND(N196&lt;&gt;"",TODAY()&gt;N(N196)),"🐢 Retrasado","📦 Pedido (esperando)")))))</f>
        <v/>
      </c>
      <c r="L196" s="94" t="str">
        <f aca="true">IF(OR(N196="",C196="",K196="",K196="✖️ Anulado"),"",IF(O196&lt;&gt;"",MAX(0,O196-N196),IF(TODAY()&gt;N196,TODAY()-N196,"")))</f>
        <v/>
      </c>
      <c r="M196" s="87"/>
      <c r="N196" s="95" t="str">
        <f aca="false">IF(M196&lt;&gt;"",M196,IF(OR(C196="",D196=""),"",IFERROR(IF(INDEX(Listas!$E$5:$E$60,MATCH(D196,Listas!$B$5:$B$60,0))="","",C196+INDEX(Listas!$E$5:$E$60,MATCH(D196,Listas!$B$5:$B$60,0))),"")))</f>
        <v/>
      </c>
      <c r="O196" s="87"/>
      <c r="P196" s="90"/>
      <c r="Q196" s="96"/>
      <c r="R196" s="89"/>
      <c r="S196" s="94" t="str">
        <f aca="false">IF(OR(C196="",O196="",K196="✖️ Anulado"),"",O196-C196)</f>
        <v/>
      </c>
      <c r="T196" s="87"/>
      <c r="U196" s="92" t="str">
        <f aca="false">IF(OR(O196="",K196="✖️ Anulado",AND(T196&lt;&gt;"",T196&lt;&gt;"No")),"",N(H196)*IF(P196="",N(G196),N(P196)))</f>
        <v/>
      </c>
      <c r="V196" s="96"/>
      <c r="W196" s="89"/>
    </row>
    <row r="197" customFormat="false" ht="21" hidden="false" customHeight="true" outlineLevel="0" collapsed="false">
      <c r="A197" s="74" t="n">
        <v>193</v>
      </c>
      <c r="B197" s="86"/>
      <c r="C197" s="87"/>
      <c r="D197" s="88"/>
      <c r="E197" s="89"/>
      <c r="F197" s="89"/>
      <c r="G197" s="90"/>
      <c r="H197" s="91"/>
      <c r="I197" s="92" t="str">
        <f aca="false">IF(OR(G197="",H197=""),"",G197*H197)</f>
        <v/>
      </c>
      <c r="J197" s="89"/>
      <c r="K197" s="93" t="str">
        <f aca="true">IF(AND(F197="",D197=""),"",IF(V197="Sí","✖️ Anulado",IF(O197&lt;&gt;"",IF(OR(Q197="Con incidencia",R197&lt;&gt;""),"⚠️ Llegó con incidencia",IF(AND(P197&lt;&gt;"",N(P197)&lt;N(G197)),"🧩 Llegó incompleto","✅ Recibido")),IF(C197="","🛒 Por pedir",IF(AND(N197&lt;&gt;"",TODAY()&gt;N(N197)),"🐢 Retrasado","📦 Pedido (esperando)")))))</f>
        <v/>
      </c>
      <c r="L197" s="94" t="str">
        <f aca="true">IF(OR(N197="",C197="",K197="",K197="✖️ Anulado"),"",IF(O197&lt;&gt;"",MAX(0,O197-N197),IF(TODAY()&gt;N197,TODAY()-N197,"")))</f>
        <v/>
      </c>
      <c r="M197" s="87"/>
      <c r="N197" s="95" t="str">
        <f aca="false">IF(M197&lt;&gt;"",M197,IF(OR(C197="",D197=""),"",IFERROR(IF(INDEX(Listas!$E$5:$E$60,MATCH(D197,Listas!$B$5:$B$60,0))="","",C197+INDEX(Listas!$E$5:$E$60,MATCH(D197,Listas!$B$5:$B$60,0))),"")))</f>
        <v/>
      </c>
      <c r="O197" s="87"/>
      <c r="P197" s="90"/>
      <c r="Q197" s="96"/>
      <c r="R197" s="89"/>
      <c r="S197" s="94" t="str">
        <f aca="false">IF(OR(C197="",O197="",K197="✖️ Anulado"),"",O197-C197)</f>
        <v/>
      </c>
      <c r="T197" s="87"/>
      <c r="U197" s="92" t="str">
        <f aca="false">IF(OR(O197="",K197="✖️ Anulado",AND(T197&lt;&gt;"",T197&lt;&gt;"No")),"",N(H197)*IF(P197="",N(G197),N(P197)))</f>
        <v/>
      </c>
      <c r="V197" s="96"/>
      <c r="W197" s="89"/>
    </row>
    <row r="198" customFormat="false" ht="21" hidden="false" customHeight="true" outlineLevel="0" collapsed="false">
      <c r="A198" s="74" t="n">
        <v>194</v>
      </c>
      <c r="B198" s="86"/>
      <c r="C198" s="87"/>
      <c r="D198" s="88"/>
      <c r="E198" s="89"/>
      <c r="F198" s="89"/>
      <c r="G198" s="90"/>
      <c r="H198" s="91"/>
      <c r="I198" s="92" t="str">
        <f aca="false">IF(OR(G198="",H198=""),"",G198*H198)</f>
        <v/>
      </c>
      <c r="J198" s="89"/>
      <c r="K198" s="93" t="str">
        <f aca="true">IF(AND(F198="",D198=""),"",IF(V198="Sí","✖️ Anulado",IF(O198&lt;&gt;"",IF(OR(Q198="Con incidencia",R198&lt;&gt;""),"⚠️ Llegó con incidencia",IF(AND(P198&lt;&gt;"",N(P198)&lt;N(G198)),"🧩 Llegó incompleto","✅ Recibido")),IF(C198="","🛒 Por pedir",IF(AND(N198&lt;&gt;"",TODAY()&gt;N(N198)),"🐢 Retrasado","📦 Pedido (esperando)")))))</f>
        <v/>
      </c>
      <c r="L198" s="94" t="str">
        <f aca="true">IF(OR(N198="",C198="",K198="",K198="✖️ Anulado"),"",IF(O198&lt;&gt;"",MAX(0,O198-N198),IF(TODAY()&gt;N198,TODAY()-N198,"")))</f>
        <v/>
      </c>
      <c r="M198" s="87"/>
      <c r="N198" s="95" t="str">
        <f aca="false">IF(M198&lt;&gt;"",M198,IF(OR(C198="",D198=""),"",IFERROR(IF(INDEX(Listas!$E$5:$E$60,MATCH(D198,Listas!$B$5:$B$60,0))="","",C198+INDEX(Listas!$E$5:$E$60,MATCH(D198,Listas!$B$5:$B$60,0))),"")))</f>
        <v/>
      </c>
      <c r="O198" s="87"/>
      <c r="P198" s="90"/>
      <c r="Q198" s="96"/>
      <c r="R198" s="89"/>
      <c r="S198" s="94" t="str">
        <f aca="false">IF(OR(C198="",O198="",K198="✖️ Anulado"),"",O198-C198)</f>
        <v/>
      </c>
      <c r="T198" s="87"/>
      <c r="U198" s="92" t="str">
        <f aca="false">IF(OR(O198="",K198="✖️ Anulado",AND(T198&lt;&gt;"",T198&lt;&gt;"No")),"",N(H198)*IF(P198="",N(G198),N(P198)))</f>
        <v/>
      </c>
      <c r="V198" s="96"/>
      <c r="W198" s="89"/>
    </row>
    <row r="199" customFormat="false" ht="21" hidden="false" customHeight="true" outlineLevel="0" collapsed="false">
      <c r="A199" s="74" t="n">
        <v>195</v>
      </c>
      <c r="B199" s="86"/>
      <c r="C199" s="87"/>
      <c r="D199" s="88"/>
      <c r="E199" s="89"/>
      <c r="F199" s="89"/>
      <c r="G199" s="90"/>
      <c r="H199" s="91"/>
      <c r="I199" s="92" t="str">
        <f aca="false">IF(OR(G199="",H199=""),"",G199*H199)</f>
        <v/>
      </c>
      <c r="J199" s="89"/>
      <c r="K199" s="93" t="str">
        <f aca="true">IF(AND(F199="",D199=""),"",IF(V199="Sí","✖️ Anulado",IF(O199&lt;&gt;"",IF(OR(Q199="Con incidencia",R199&lt;&gt;""),"⚠️ Llegó con incidencia",IF(AND(P199&lt;&gt;"",N(P199)&lt;N(G199)),"🧩 Llegó incompleto","✅ Recibido")),IF(C199="","🛒 Por pedir",IF(AND(N199&lt;&gt;"",TODAY()&gt;N(N199)),"🐢 Retrasado","📦 Pedido (esperando)")))))</f>
        <v/>
      </c>
      <c r="L199" s="94" t="str">
        <f aca="true">IF(OR(N199="",C199="",K199="",K199="✖️ Anulado"),"",IF(O199&lt;&gt;"",MAX(0,O199-N199),IF(TODAY()&gt;N199,TODAY()-N199,"")))</f>
        <v/>
      </c>
      <c r="M199" s="87"/>
      <c r="N199" s="95" t="str">
        <f aca="false">IF(M199&lt;&gt;"",M199,IF(OR(C199="",D199=""),"",IFERROR(IF(INDEX(Listas!$E$5:$E$60,MATCH(D199,Listas!$B$5:$B$60,0))="","",C199+INDEX(Listas!$E$5:$E$60,MATCH(D199,Listas!$B$5:$B$60,0))),"")))</f>
        <v/>
      </c>
      <c r="O199" s="87"/>
      <c r="P199" s="90"/>
      <c r="Q199" s="96"/>
      <c r="R199" s="89"/>
      <c r="S199" s="94" t="str">
        <f aca="false">IF(OR(C199="",O199="",K199="✖️ Anulado"),"",O199-C199)</f>
        <v/>
      </c>
      <c r="T199" s="87"/>
      <c r="U199" s="92" t="str">
        <f aca="false">IF(OR(O199="",K199="✖️ Anulado",AND(T199&lt;&gt;"",T199&lt;&gt;"No")),"",N(H199)*IF(P199="",N(G199),N(P199)))</f>
        <v/>
      </c>
      <c r="V199" s="96"/>
      <c r="W199" s="89"/>
    </row>
    <row r="200" customFormat="false" ht="21" hidden="false" customHeight="true" outlineLevel="0" collapsed="false">
      <c r="A200" s="74" t="n">
        <v>196</v>
      </c>
      <c r="B200" s="86"/>
      <c r="C200" s="87"/>
      <c r="D200" s="88"/>
      <c r="E200" s="89"/>
      <c r="F200" s="89"/>
      <c r="G200" s="90"/>
      <c r="H200" s="91"/>
      <c r="I200" s="92" t="str">
        <f aca="false">IF(OR(G200="",H200=""),"",G200*H200)</f>
        <v/>
      </c>
      <c r="J200" s="89"/>
      <c r="K200" s="93" t="str">
        <f aca="true">IF(AND(F200="",D200=""),"",IF(V200="Sí","✖️ Anulado",IF(O200&lt;&gt;"",IF(OR(Q200="Con incidencia",R200&lt;&gt;""),"⚠️ Llegó con incidencia",IF(AND(P200&lt;&gt;"",N(P200)&lt;N(G200)),"🧩 Llegó incompleto","✅ Recibido")),IF(C200="","🛒 Por pedir",IF(AND(N200&lt;&gt;"",TODAY()&gt;N(N200)),"🐢 Retrasado","📦 Pedido (esperando)")))))</f>
        <v/>
      </c>
      <c r="L200" s="94" t="str">
        <f aca="true">IF(OR(N200="",C200="",K200="",K200="✖️ Anulado"),"",IF(O200&lt;&gt;"",MAX(0,O200-N200),IF(TODAY()&gt;N200,TODAY()-N200,"")))</f>
        <v/>
      </c>
      <c r="M200" s="87"/>
      <c r="N200" s="95" t="str">
        <f aca="false">IF(M200&lt;&gt;"",M200,IF(OR(C200="",D200=""),"",IFERROR(IF(INDEX(Listas!$E$5:$E$60,MATCH(D200,Listas!$B$5:$B$60,0))="","",C200+INDEX(Listas!$E$5:$E$60,MATCH(D200,Listas!$B$5:$B$60,0))),"")))</f>
        <v/>
      </c>
      <c r="O200" s="87"/>
      <c r="P200" s="90"/>
      <c r="Q200" s="96"/>
      <c r="R200" s="89"/>
      <c r="S200" s="94" t="str">
        <f aca="false">IF(OR(C200="",O200="",K200="✖️ Anulado"),"",O200-C200)</f>
        <v/>
      </c>
      <c r="T200" s="87"/>
      <c r="U200" s="92" t="str">
        <f aca="false">IF(OR(O200="",K200="✖️ Anulado",AND(T200&lt;&gt;"",T200&lt;&gt;"No")),"",N(H200)*IF(P200="",N(G200),N(P200)))</f>
        <v/>
      </c>
      <c r="V200" s="96"/>
      <c r="W200" s="89"/>
    </row>
    <row r="201" customFormat="false" ht="21" hidden="false" customHeight="true" outlineLevel="0" collapsed="false">
      <c r="A201" s="74" t="n">
        <v>197</v>
      </c>
      <c r="B201" s="86"/>
      <c r="C201" s="87"/>
      <c r="D201" s="88"/>
      <c r="E201" s="89"/>
      <c r="F201" s="89"/>
      <c r="G201" s="90"/>
      <c r="H201" s="91"/>
      <c r="I201" s="92" t="str">
        <f aca="false">IF(OR(G201="",H201=""),"",G201*H201)</f>
        <v/>
      </c>
      <c r="J201" s="89"/>
      <c r="K201" s="93" t="str">
        <f aca="true">IF(AND(F201="",D201=""),"",IF(V201="Sí","✖️ Anulado",IF(O201&lt;&gt;"",IF(OR(Q201="Con incidencia",R201&lt;&gt;""),"⚠️ Llegó con incidencia",IF(AND(P201&lt;&gt;"",N(P201)&lt;N(G201)),"🧩 Llegó incompleto","✅ Recibido")),IF(C201="","🛒 Por pedir",IF(AND(N201&lt;&gt;"",TODAY()&gt;N(N201)),"🐢 Retrasado","📦 Pedido (esperando)")))))</f>
        <v/>
      </c>
      <c r="L201" s="94" t="str">
        <f aca="true">IF(OR(N201="",C201="",K201="",K201="✖️ Anulado"),"",IF(O201&lt;&gt;"",MAX(0,O201-N201),IF(TODAY()&gt;N201,TODAY()-N201,"")))</f>
        <v/>
      </c>
      <c r="M201" s="87"/>
      <c r="N201" s="95" t="str">
        <f aca="false">IF(M201&lt;&gt;"",M201,IF(OR(C201="",D201=""),"",IFERROR(IF(INDEX(Listas!$E$5:$E$60,MATCH(D201,Listas!$B$5:$B$60,0))="","",C201+INDEX(Listas!$E$5:$E$60,MATCH(D201,Listas!$B$5:$B$60,0))),"")))</f>
        <v/>
      </c>
      <c r="O201" s="87"/>
      <c r="P201" s="90"/>
      <c r="Q201" s="96"/>
      <c r="R201" s="89"/>
      <c r="S201" s="94" t="str">
        <f aca="false">IF(OR(C201="",O201="",K201="✖️ Anulado"),"",O201-C201)</f>
        <v/>
      </c>
      <c r="T201" s="87"/>
      <c r="U201" s="92" t="str">
        <f aca="false">IF(OR(O201="",K201="✖️ Anulado",AND(T201&lt;&gt;"",T201&lt;&gt;"No")),"",N(H201)*IF(P201="",N(G201),N(P201)))</f>
        <v/>
      </c>
      <c r="V201" s="96"/>
      <c r="W201" s="89"/>
    </row>
    <row r="202" customFormat="false" ht="21" hidden="false" customHeight="true" outlineLevel="0" collapsed="false">
      <c r="A202" s="74" t="n">
        <v>198</v>
      </c>
      <c r="B202" s="86"/>
      <c r="C202" s="87"/>
      <c r="D202" s="88"/>
      <c r="E202" s="89"/>
      <c r="F202" s="89"/>
      <c r="G202" s="90"/>
      <c r="H202" s="91"/>
      <c r="I202" s="92" t="str">
        <f aca="false">IF(OR(G202="",H202=""),"",G202*H202)</f>
        <v/>
      </c>
      <c r="J202" s="89"/>
      <c r="K202" s="93" t="str">
        <f aca="true">IF(AND(F202="",D202=""),"",IF(V202="Sí","✖️ Anulado",IF(O202&lt;&gt;"",IF(OR(Q202="Con incidencia",R202&lt;&gt;""),"⚠️ Llegó con incidencia",IF(AND(P202&lt;&gt;"",N(P202)&lt;N(G202)),"🧩 Llegó incompleto","✅ Recibido")),IF(C202="","🛒 Por pedir",IF(AND(N202&lt;&gt;"",TODAY()&gt;N(N202)),"🐢 Retrasado","📦 Pedido (esperando)")))))</f>
        <v/>
      </c>
      <c r="L202" s="94" t="str">
        <f aca="true">IF(OR(N202="",C202="",K202="",K202="✖️ Anulado"),"",IF(O202&lt;&gt;"",MAX(0,O202-N202),IF(TODAY()&gt;N202,TODAY()-N202,"")))</f>
        <v/>
      </c>
      <c r="M202" s="87"/>
      <c r="N202" s="95" t="str">
        <f aca="false">IF(M202&lt;&gt;"",M202,IF(OR(C202="",D202=""),"",IFERROR(IF(INDEX(Listas!$E$5:$E$60,MATCH(D202,Listas!$B$5:$B$60,0))="","",C202+INDEX(Listas!$E$5:$E$60,MATCH(D202,Listas!$B$5:$B$60,0))),"")))</f>
        <v/>
      </c>
      <c r="O202" s="87"/>
      <c r="P202" s="90"/>
      <c r="Q202" s="96"/>
      <c r="R202" s="89"/>
      <c r="S202" s="94" t="str">
        <f aca="false">IF(OR(C202="",O202="",K202="✖️ Anulado"),"",O202-C202)</f>
        <v/>
      </c>
      <c r="T202" s="87"/>
      <c r="U202" s="92" t="str">
        <f aca="false">IF(OR(O202="",K202="✖️ Anulado",AND(T202&lt;&gt;"",T202&lt;&gt;"No")),"",N(H202)*IF(P202="",N(G202),N(P202)))</f>
        <v/>
      </c>
      <c r="V202" s="96"/>
      <c r="W202" s="89"/>
    </row>
    <row r="203" customFormat="false" ht="21" hidden="false" customHeight="true" outlineLevel="0" collapsed="false">
      <c r="A203" s="74" t="n">
        <v>199</v>
      </c>
      <c r="B203" s="86"/>
      <c r="C203" s="87"/>
      <c r="D203" s="88"/>
      <c r="E203" s="89"/>
      <c r="F203" s="89"/>
      <c r="G203" s="90"/>
      <c r="H203" s="91"/>
      <c r="I203" s="92" t="str">
        <f aca="false">IF(OR(G203="",H203=""),"",G203*H203)</f>
        <v/>
      </c>
      <c r="J203" s="89"/>
      <c r="K203" s="93" t="str">
        <f aca="true">IF(AND(F203="",D203=""),"",IF(V203="Sí","✖️ Anulado",IF(O203&lt;&gt;"",IF(OR(Q203="Con incidencia",R203&lt;&gt;""),"⚠️ Llegó con incidencia",IF(AND(P203&lt;&gt;"",N(P203)&lt;N(G203)),"🧩 Llegó incompleto","✅ Recibido")),IF(C203="","🛒 Por pedir",IF(AND(N203&lt;&gt;"",TODAY()&gt;N(N203)),"🐢 Retrasado","📦 Pedido (esperando)")))))</f>
        <v/>
      </c>
      <c r="L203" s="94" t="str">
        <f aca="true">IF(OR(N203="",C203="",K203="",K203="✖️ Anulado"),"",IF(O203&lt;&gt;"",MAX(0,O203-N203),IF(TODAY()&gt;N203,TODAY()-N203,"")))</f>
        <v/>
      </c>
      <c r="M203" s="87"/>
      <c r="N203" s="95" t="str">
        <f aca="false">IF(M203&lt;&gt;"",M203,IF(OR(C203="",D203=""),"",IFERROR(IF(INDEX(Listas!$E$5:$E$60,MATCH(D203,Listas!$B$5:$B$60,0))="","",C203+INDEX(Listas!$E$5:$E$60,MATCH(D203,Listas!$B$5:$B$60,0))),"")))</f>
        <v/>
      </c>
      <c r="O203" s="87"/>
      <c r="P203" s="90"/>
      <c r="Q203" s="96"/>
      <c r="R203" s="89"/>
      <c r="S203" s="94" t="str">
        <f aca="false">IF(OR(C203="",O203="",K203="✖️ Anulado"),"",O203-C203)</f>
        <v/>
      </c>
      <c r="T203" s="87"/>
      <c r="U203" s="92" t="str">
        <f aca="false">IF(OR(O203="",K203="✖️ Anulado",AND(T203&lt;&gt;"",T203&lt;&gt;"No")),"",N(H203)*IF(P203="",N(G203),N(P203)))</f>
        <v/>
      </c>
      <c r="V203" s="96"/>
      <c r="W203" s="89"/>
    </row>
    <row r="204" customFormat="false" ht="21" hidden="false" customHeight="true" outlineLevel="0" collapsed="false">
      <c r="A204" s="74" t="n">
        <v>200</v>
      </c>
      <c r="B204" s="86"/>
      <c r="C204" s="87"/>
      <c r="D204" s="88"/>
      <c r="E204" s="89"/>
      <c r="F204" s="89"/>
      <c r="G204" s="90"/>
      <c r="H204" s="91"/>
      <c r="I204" s="92" t="str">
        <f aca="false">IF(OR(G204="",H204=""),"",G204*H204)</f>
        <v/>
      </c>
      <c r="J204" s="89"/>
      <c r="K204" s="93" t="str">
        <f aca="true">IF(AND(F204="",D204=""),"",IF(V204="Sí","✖️ Anulado",IF(O204&lt;&gt;"",IF(OR(Q204="Con incidencia",R204&lt;&gt;""),"⚠️ Llegó con incidencia",IF(AND(P204&lt;&gt;"",N(P204)&lt;N(G204)),"🧩 Llegó incompleto","✅ Recibido")),IF(C204="","🛒 Por pedir",IF(AND(N204&lt;&gt;"",TODAY()&gt;N(N204)),"🐢 Retrasado","📦 Pedido (esperando)")))))</f>
        <v/>
      </c>
      <c r="L204" s="94" t="str">
        <f aca="true">IF(OR(N204="",C204="",K204="",K204="✖️ Anulado"),"",IF(O204&lt;&gt;"",MAX(0,O204-N204),IF(TODAY()&gt;N204,TODAY()-N204,"")))</f>
        <v/>
      </c>
      <c r="M204" s="87"/>
      <c r="N204" s="95" t="str">
        <f aca="false">IF(M204&lt;&gt;"",M204,IF(OR(C204="",D204=""),"",IFERROR(IF(INDEX(Listas!$E$5:$E$60,MATCH(D204,Listas!$B$5:$B$60,0))="","",C204+INDEX(Listas!$E$5:$E$60,MATCH(D204,Listas!$B$5:$B$60,0))),"")))</f>
        <v/>
      </c>
      <c r="O204" s="87"/>
      <c r="P204" s="90"/>
      <c r="Q204" s="96"/>
      <c r="R204" s="89"/>
      <c r="S204" s="94" t="str">
        <f aca="false">IF(OR(C204="",O204="",K204="✖️ Anulado"),"",O204-C204)</f>
        <v/>
      </c>
      <c r="T204" s="87"/>
      <c r="U204" s="92" t="str">
        <f aca="false">IF(OR(O204="",K204="✖️ Anulado",AND(T204&lt;&gt;"",T204&lt;&gt;"No")),"",N(H204)*IF(P204="",N(G204),N(P204)))</f>
        <v/>
      </c>
      <c r="V204" s="96"/>
      <c r="W204" s="89"/>
    </row>
    <row r="205" customFormat="false" ht="21" hidden="false" customHeight="true" outlineLevel="0" collapsed="false">
      <c r="A205" s="74" t="n">
        <v>201</v>
      </c>
      <c r="B205" s="86"/>
      <c r="C205" s="87"/>
      <c r="D205" s="88"/>
      <c r="E205" s="89"/>
      <c r="F205" s="89"/>
      <c r="G205" s="90"/>
      <c r="H205" s="91"/>
      <c r="I205" s="92" t="str">
        <f aca="false">IF(OR(G205="",H205=""),"",G205*H205)</f>
        <v/>
      </c>
      <c r="J205" s="89"/>
      <c r="K205" s="93" t="str">
        <f aca="true">IF(AND(F205="",D205=""),"",IF(V205="Sí","✖️ Anulado",IF(O205&lt;&gt;"",IF(OR(Q205="Con incidencia",R205&lt;&gt;""),"⚠️ Llegó con incidencia",IF(AND(P205&lt;&gt;"",N(P205)&lt;N(G205)),"🧩 Llegó incompleto","✅ Recibido")),IF(C205="","🛒 Por pedir",IF(AND(N205&lt;&gt;"",TODAY()&gt;N(N205)),"🐢 Retrasado","📦 Pedido (esperando)")))))</f>
        <v/>
      </c>
      <c r="L205" s="94" t="str">
        <f aca="true">IF(OR(N205="",C205="",K205="",K205="✖️ Anulado"),"",IF(O205&lt;&gt;"",MAX(0,O205-N205),IF(TODAY()&gt;N205,TODAY()-N205,"")))</f>
        <v/>
      </c>
      <c r="M205" s="87"/>
      <c r="N205" s="95" t="str">
        <f aca="false">IF(M205&lt;&gt;"",M205,IF(OR(C205="",D205=""),"",IFERROR(IF(INDEX(Listas!$E$5:$E$60,MATCH(D205,Listas!$B$5:$B$60,0))="","",C205+INDEX(Listas!$E$5:$E$60,MATCH(D205,Listas!$B$5:$B$60,0))),"")))</f>
        <v/>
      </c>
      <c r="O205" s="87"/>
      <c r="P205" s="90"/>
      <c r="Q205" s="96"/>
      <c r="R205" s="89"/>
      <c r="S205" s="94" t="str">
        <f aca="false">IF(OR(C205="",O205="",K205="✖️ Anulado"),"",O205-C205)</f>
        <v/>
      </c>
      <c r="T205" s="87"/>
      <c r="U205" s="92" t="str">
        <f aca="false">IF(OR(O205="",K205="✖️ Anulado",AND(T205&lt;&gt;"",T205&lt;&gt;"No")),"",N(H205)*IF(P205="",N(G205),N(P205)))</f>
        <v/>
      </c>
      <c r="V205" s="96"/>
      <c r="W205" s="89"/>
    </row>
    <row r="206" customFormat="false" ht="21" hidden="false" customHeight="true" outlineLevel="0" collapsed="false">
      <c r="A206" s="74" t="n">
        <v>202</v>
      </c>
      <c r="B206" s="86"/>
      <c r="C206" s="87"/>
      <c r="D206" s="88"/>
      <c r="E206" s="89"/>
      <c r="F206" s="89"/>
      <c r="G206" s="90"/>
      <c r="H206" s="91"/>
      <c r="I206" s="92" t="str">
        <f aca="false">IF(OR(G206="",H206=""),"",G206*H206)</f>
        <v/>
      </c>
      <c r="J206" s="89"/>
      <c r="K206" s="93" t="str">
        <f aca="true">IF(AND(F206="",D206=""),"",IF(V206="Sí","✖️ Anulado",IF(O206&lt;&gt;"",IF(OR(Q206="Con incidencia",R206&lt;&gt;""),"⚠️ Llegó con incidencia",IF(AND(P206&lt;&gt;"",N(P206)&lt;N(G206)),"🧩 Llegó incompleto","✅ Recibido")),IF(C206="","🛒 Por pedir",IF(AND(N206&lt;&gt;"",TODAY()&gt;N(N206)),"🐢 Retrasado","📦 Pedido (esperando)")))))</f>
        <v/>
      </c>
      <c r="L206" s="94" t="str">
        <f aca="true">IF(OR(N206="",C206="",K206="",K206="✖️ Anulado"),"",IF(O206&lt;&gt;"",MAX(0,O206-N206),IF(TODAY()&gt;N206,TODAY()-N206,"")))</f>
        <v/>
      </c>
      <c r="M206" s="87"/>
      <c r="N206" s="95" t="str">
        <f aca="false">IF(M206&lt;&gt;"",M206,IF(OR(C206="",D206=""),"",IFERROR(IF(INDEX(Listas!$E$5:$E$60,MATCH(D206,Listas!$B$5:$B$60,0))="","",C206+INDEX(Listas!$E$5:$E$60,MATCH(D206,Listas!$B$5:$B$60,0))),"")))</f>
        <v/>
      </c>
      <c r="O206" s="87"/>
      <c r="P206" s="90"/>
      <c r="Q206" s="96"/>
      <c r="R206" s="89"/>
      <c r="S206" s="94" t="str">
        <f aca="false">IF(OR(C206="",O206="",K206="✖️ Anulado"),"",O206-C206)</f>
        <v/>
      </c>
      <c r="T206" s="87"/>
      <c r="U206" s="92" t="str">
        <f aca="false">IF(OR(O206="",K206="✖️ Anulado",AND(T206&lt;&gt;"",T206&lt;&gt;"No")),"",N(H206)*IF(P206="",N(G206),N(P206)))</f>
        <v/>
      </c>
      <c r="V206" s="96"/>
      <c r="W206" s="89"/>
    </row>
    <row r="207" customFormat="false" ht="21" hidden="false" customHeight="true" outlineLevel="0" collapsed="false">
      <c r="A207" s="74" t="n">
        <v>203</v>
      </c>
      <c r="B207" s="86"/>
      <c r="C207" s="87"/>
      <c r="D207" s="88"/>
      <c r="E207" s="89"/>
      <c r="F207" s="89"/>
      <c r="G207" s="90"/>
      <c r="H207" s="91"/>
      <c r="I207" s="92" t="str">
        <f aca="false">IF(OR(G207="",H207=""),"",G207*H207)</f>
        <v/>
      </c>
      <c r="J207" s="89"/>
      <c r="K207" s="93" t="str">
        <f aca="true">IF(AND(F207="",D207=""),"",IF(V207="Sí","✖️ Anulado",IF(O207&lt;&gt;"",IF(OR(Q207="Con incidencia",R207&lt;&gt;""),"⚠️ Llegó con incidencia",IF(AND(P207&lt;&gt;"",N(P207)&lt;N(G207)),"🧩 Llegó incompleto","✅ Recibido")),IF(C207="","🛒 Por pedir",IF(AND(N207&lt;&gt;"",TODAY()&gt;N(N207)),"🐢 Retrasado","📦 Pedido (esperando)")))))</f>
        <v/>
      </c>
      <c r="L207" s="94" t="str">
        <f aca="true">IF(OR(N207="",C207="",K207="",K207="✖️ Anulado"),"",IF(O207&lt;&gt;"",MAX(0,O207-N207),IF(TODAY()&gt;N207,TODAY()-N207,"")))</f>
        <v/>
      </c>
      <c r="M207" s="87"/>
      <c r="N207" s="95" t="str">
        <f aca="false">IF(M207&lt;&gt;"",M207,IF(OR(C207="",D207=""),"",IFERROR(IF(INDEX(Listas!$E$5:$E$60,MATCH(D207,Listas!$B$5:$B$60,0))="","",C207+INDEX(Listas!$E$5:$E$60,MATCH(D207,Listas!$B$5:$B$60,0))),"")))</f>
        <v/>
      </c>
      <c r="O207" s="87"/>
      <c r="P207" s="90"/>
      <c r="Q207" s="96"/>
      <c r="R207" s="89"/>
      <c r="S207" s="94" t="str">
        <f aca="false">IF(OR(C207="",O207="",K207="✖️ Anulado"),"",O207-C207)</f>
        <v/>
      </c>
      <c r="T207" s="87"/>
      <c r="U207" s="92" t="str">
        <f aca="false">IF(OR(O207="",K207="✖️ Anulado",AND(T207&lt;&gt;"",T207&lt;&gt;"No")),"",N(H207)*IF(P207="",N(G207),N(P207)))</f>
        <v/>
      </c>
      <c r="V207" s="96"/>
      <c r="W207" s="89"/>
    </row>
    <row r="208" customFormat="false" ht="21" hidden="false" customHeight="true" outlineLevel="0" collapsed="false">
      <c r="A208" s="74" t="n">
        <v>204</v>
      </c>
      <c r="B208" s="86"/>
      <c r="C208" s="87"/>
      <c r="D208" s="88"/>
      <c r="E208" s="89"/>
      <c r="F208" s="89"/>
      <c r="G208" s="90"/>
      <c r="H208" s="91"/>
      <c r="I208" s="92" t="str">
        <f aca="false">IF(OR(G208="",H208=""),"",G208*H208)</f>
        <v/>
      </c>
      <c r="J208" s="89"/>
      <c r="K208" s="93" t="str">
        <f aca="true">IF(AND(F208="",D208=""),"",IF(V208="Sí","✖️ Anulado",IF(O208&lt;&gt;"",IF(OR(Q208="Con incidencia",R208&lt;&gt;""),"⚠️ Llegó con incidencia",IF(AND(P208&lt;&gt;"",N(P208)&lt;N(G208)),"🧩 Llegó incompleto","✅ Recibido")),IF(C208="","🛒 Por pedir",IF(AND(N208&lt;&gt;"",TODAY()&gt;N(N208)),"🐢 Retrasado","📦 Pedido (esperando)")))))</f>
        <v/>
      </c>
      <c r="L208" s="94" t="str">
        <f aca="true">IF(OR(N208="",C208="",K208="",K208="✖️ Anulado"),"",IF(O208&lt;&gt;"",MAX(0,O208-N208),IF(TODAY()&gt;N208,TODAY()-N208,"")))</f>
        <v/>
      </c>
      <c r="M208" s="87"/>
      <c r="N208" s="95" t="str">
        <f aca="false">IF(M208&lt;&gt;"",M208,IF(OR(C208="",D208=""),"",IFERROR(IF(INDEX(Listas!$E$5:$E$60,MATCH(D208,Listas!$B$5:$B$60,0))="","",C208+INDEX(Listas!$E$5:$E$60,MATCH(D208,Listas!$B$5:$B$60,0))),"")))</f>
        <v/>
      </c>
      <c r="O208" s="87"/>
      <c r="P208" s="90"/>
      <c r="Q208" s="96"/>
      <c r="R208" s="89"/>
      <c r="S208" s="94" t="str">
        <f aca="false">IF(OR(C208="",O208="",K208="✖️ Anulado"),"",O208-C208)</f>
        <v/>
      </c>
      <c r="T208" s="87"/>
      <c r="U208" s="92" t="str">
        <f aca="false">IF(OR(O208="",K208="✖️ Anulado",AND(T208&lt;&gt;"",T208&lt;&gt;"No")),"",N(H208)*IF(P208="",N(G208),N(P208)))</f>
        <v/>
      </c>
      <c r="V208" s="96"/>
      <c r="W208" s="89"/>
    </row>
    <row r="209" customFormat="false" ht="21" hidden="false" customHeight="true" outlineLevel="0" collapsed="false">
      <c r="A209" s="74" t="n">
        <v>205</v>
      </c>
      <c r="B209" s="86"/>
      <c r="C209" s="87"/>
      <c r="D209" s="88"/>
      <c r="E209" s="89"/>
      <c r="F209" s="89"/>
      <c r="G209" s="90"/>
      <c r="H209" s="91"/>
      <c r="I209" s="92" t="str">
        <f aca="false">IF(OR(G209="",H209=""),"",G209*H209)</f>
        <v/>
      </c>
      <c r="J209" s="89"/>
      <c r="K209" s="93" t="str">
        <f aca="true">IF(AND(F209="",D209=""),"",IF(V209="Sí","✖️ Anulado",IF(O209&lt;&gt;"",IF(OR(Q209="Con incidencia",R209&lt;&gt;""),"⚠️ Llegó con incidencia",IF(AND(P209&lt;&gt;"",N(P209)&lt;N(G209)),"🧩 Llegó incompleto","✅ Recibido")),IF(C209="","🛒 Por pedir",IF(AND(N209&lt;&gt;"",TODAY()&gt;N(N209)),"🐢 Retrasado","📦 Pedido (esperando)")))))</f>
        <v/>
      </c>
      <c r="L209" s="94" t="str">
        <f aca="true">IF(OR(N209="",C209="",K209="",K209="✖️ Anulado"),"",IF(O209&lt;&gt;"",MAX(0,O209-N209),IF(TODAY()&gt;N209,TODAY()-N209,"")))</f>
        <v/>
      </c>
      <c r="M209" s="87"/>
      <c r="N209" s="95" t="str">
        <f aca="false">IF(M209&lt;&gt;"",M209,IF(OR(C209="",D209=""),"",IFERROR(IF(INDEX(Listas!$E$5:$E$60,MATCH(D209,Listas!$B$5:$B$60,0))="","",C209+INDEX(Listas!$E$5:$E$60,MATCH(D209,Listas!$B$5:$B$60,0))),"")))</f>
        <v/>
      </c>
      <c r="O209" s="87"/>
      <c r="P209" s="90"/>
      <c r="Q209" s="96"/>
      <c r="R209" s="89"/>
      <c r="S209" s="94" t="str">
        <f aca="false">IF(OR(C209="",O209="",K209="✖️ Anulado"),"",O209-C209)</f>
        <v/>
      </c>
      <c r="T209" s="87"/>
      <c r="U209" s="92" t="str">
        <f aca="false">IF(OR(O209="",K209="✖️ Anulado",AND(T209&lt;&gt;"",T209&lt;&gt;"No")),"",N(H209)*IF(P209="",N(G209),N(P209)))</f>
        <v/>
      </c>
      <c r="V209" s="96"/>
      <c r="W209" s="89"/>
    </row>
    <row r="210" customFormat="false" ht="21" hidden="false" customHeight="true" outlineLevel="0" collapsed="false">
      <c r="A210" s="74" t="n">
        <v>206</v>
      </c>
      <c r="B210" s="86"/>
      <c r="C210" s="87"/>
      <c r="D210" s="88"/>
      <c r="E210" s="89"/>
      <c r="F210" s="89"/>
      <c r="G210" s="90"/>
      <c r="H210" s="91"/>
      <c r="I210" s="92" t="str">
        <f aca="false">IF(OR(G210="",H210=""),"",G210*H210)</f>
        <v/>
      </c>
      <c r="J210" s="89"/>
      <c r="K210" s="93" t="str">
        <f aca="true">IF(AND(F210="",D210=""),"",IF(V210="Sí","✖️ Anulado",IF(O210&lt;&gt;"",IF(OR(Q210="Con incidencia",R210&lt;&gt;""),"⚠️ Llegó con incidencia",IF(AND(P210&lt;&gt;"",N(P210)&lt;N(G210)),"🧩 Llegó incompleto","✅ Recibido")),IF(C210="","🛒 Por pedir",IF(AND(N210&lt;&gt;"",TODAY()&gt;N(N210)),"🐢 Retrasado","📦 Pedido (esperando)")))))</f>
        <v/>
      </c>
      <c r="L210" s="94" t="str">
        <f aca="true">IF(OR(N210="",C210="",K210="",K210="✖️ Anulado"),"",IF(O210&lt;&gt;"",MAX(0,O210-N210),IF(TODAY()&gt;N210,TODAY()-N210,"")))</f>
        <v/>
      </c>
      <c r="M210" s="87"/>
      <c r="N210" s="95" t="str">
        <f aca="false">IF(M210&lt;&gt;"",M210,IF(OR(C210="",D210=""),"",IFERROR(IF(INDEX(Listas!$E$5:$E$60,MATCH(D210,Listas!$B$5:$B$60,0))="","",C210+INDEX(Listas!$E$5:$E$60,MATCH(D210,Listas!$B$5:$B$60,0))),"")))</f>
        <v/>
      </c>
      <c r="O210" s="87"/>
      <c r="P210" s="90"/>
      <c r="Q210" s="96"/>
      <c r="R210" s="89"/>
      <c r="S210" s="94" t="str">
        <f aca="false">IF(OR(C210="",O210="",K210="✖️ Anulado"),"",O210-C210)</f>
        <v/>
      </c>
      <c r="T210" s="87"/>
      <c r="U210" s="92" t="str">
        <f aca="false">IF(OR(O210="",K210="✖️ Anulado",AND(T210&lt;&gt;"",T210&lt;&gt;"No")),"",N(H210)*IF(P210="",N(G210),N(P210)))</f>
        <v/>
      </c>
      <c r="V210" s="96"/>
      <c r="W210" s="89"/>
    </row>
    <row r="211" customFormat="false" ht="21" hidden="false" customHeight="true" outlineLevel="0" collapsed="false">
      <c r="A211" s="74" t="n">
        <v>207</v>
      </c>
      <c r="B211" s="86"/>
      <c r="C211" s="87"/>
      <c r="D211" s="88"/>
      <c r="E211" s="89"/>
      <c r="F211" s="89"/>
      <c r="G211" s="90"/>
      <c r="H211" s="91"/>
      <c r="I211" s="92" t="str">
        <f aca="false">IF(OR(G211="",H211=""),"",G211*H211)</f>
        <v/>
      </c>
      <c r="J211" s="89"/>
      <c r="K211" s="93" t="str">
        <f aca="true">IF(AND(F211="",D211=""),"",IF(V211="Sí","✖️ Anulado",IF(O211&lt;&gt;"",IF(OR(Q211="Con incidencia",R211&lt;&gt;""),"⚠️ Llegó con incidencia",IF(AND(P211&lt;&gt;"",N(P211)&lt;N(G211)),"🧩 Llegó incompleto","✅ Recibido")),IF(C211="","🛒 Por pedir",IF(AND(N211&lt;&gt;"",TODAY()&gt;N(N211)),"🐢 Retrasado","📦 Pedido (esperando)")))))</f>
        <v/>
      </c>
      <c r="L211" s="94" t="str">
        <f aca="true">IF(OR(N211="",C211="",K211="",K211="✖️ Anulado"),"",IF(O211&lt;&gt;"",MAX(0,O211-N211),IF(TODAY()&gt;N211,TODAY()-N211,"")))</f>
        <v/>
      </c>
      <c r="M211" s="87"/>
      <c r="N211" s="95" t="str">
        <f aca="false">IF(M211&lt;&gt;"",M211,IF(OR(C211="",D211=""),"",IFERROR(IF(INDEX(Listas!$E$5:$E$60,MATCH(D211,Listas!$B$5:$B$60,0))="","",C211+INDEX(Listas!$E$5:$E$60,MATCH(D211,Listas!$B$5:$B$60,0))),"")))</f>
        <v/>
      </c>
      <c r="O211" s="87"/>
      <c r="P211" s="90"/>
      <c r="Q211" s="96"/>
      <c r="R211" s="89"/>
      <c r="S211" s="94" t="str">
        <f aca="false">IF(OR(C211="",O211="",K211="✖️ Anulado"),"",O211-C211)</f>
        <v/>
      </c>
      <c r="T211" s="87"/>
      <c r="U211" s="92" t="str">
        <f aca="false">IF(OR(O211="",K211="✖️ Anulado",AND(T211&lt;&gt;"",T211&lt;&gt;"No")),"",N(H211)*IF(P211="",N(G211),N(P211)))</f>
        <v/>
      </c>
      <c r="V211" s="96"/>
      <c r="W211" s="89"/>
    </row>
    <row r="212" customFormat="false" ht="21" hidden="false" customHeight="true" outlineLevel="0" collapsed="false">
      <c r="A212" s="74" t="n">
        <v>208</v>
      </c>
      <c r="B212" s="86"/>
      <c r="C212" s="87"/>
      <c r="D212" s="88"/>
      <c r="E212" s="89"/>
      <c r="F212" s="89"/>
      <c r="G212" s="90"/>
      <c r="H212" s="91"/>
      <c r="I212" s="92" t="str">
        <f aca="false">IF(OR(G212="",H212=""),"",G212*H212)</f>
        <v/>
      </c>
      <c r="J212" s="89"/>
      <c r="K212" s="93" t="str">
        <f aca="true">IF(AND(F212="",D212=""),"",IF(V212="Sí","✖️ Anulado",IF(O212&lt;&gt;"",IF(OR(Q212="Con incidencia",R212&lt;&gt;""),"⚠️ Llegó con incidencia",IF(AND(P212&lt;&gt;"",N(P212)&lt;N(G212)),"🧩 Llegó incompleto","✅ Recibido")),IF(C212="","🛒 Por pedir",IF(AND(N212&lt;&gt;"",TODAY()&gt;N(N212)),"🐢 Retrasado","📦 Pedido (esperando)")))))</f>
        <v/>
      </c>
      <c r="L212" s="94" t="str">
        <f aca="true">IF(OR(N212="",C212="",K212="",K212="✖️ Anulado"),"",IF(O212&lt;&gt;"",MAX(0,O212-N212),IF(TODAY()&gt;N212,TODAY()-N212,"")))</f>
        <v/>
      </c>
      <c r="M212" s="87"/>
      <c r="N212" s="95" t="str">
        <f aca="false">IF(M212&lt;&gt;"",M212,IF(OR(C212="",D212=""),"",IFERROR(IF(INDEX(Listas!$E$5:$E$60,MATCH(D212,Listas!$B$5:$B$60,0))="","",C212+INDEX(Listas!$E$5:$E$60,MATCH(D212,Listas!$B$5:$B$60,0))),"")))</f>
        <v/>
      </c>
      <c r="O212" s="87"/>
      <c r="P212" s="90"/>
      <c r="Q212" s="96"/>
      <c r="R212" s="89"/>
      <c r="S212" s="94" t="str">
        <f aca="false">IF(OR(C212="",O212="",K212="✖️ Anulado"),"",O212-C212)</f>
        <v/>
      </c>
      <c r="T212" s="87"/>
      <c r="U212" s="92" t="str">
        <f aca="false">IF(OR(O212="",K212="✖️ Anulado",AND(T212&lt;&gt;"",T212&lt;&gt;"No")),"",N(H212)*IF(P212="",N(G212),N(P212)))</f>
        <v/>
      </c>
      <c r="V212" s="96"/>
      <c r="W212" s="89"/>
    </row>
    <row r="213" customFormat="false" ht="21" hidden="false" customHeight="true" outlineLevel="0" collapsed="false">
      <c r="A213" s="74" t="n">
        <v>209</v>
      </c>
      <c r="B213" s="86"/>
      <c r="C213" s="87"/>
      <c r="D213" s="88"/>
      <c r="E213" s="89"/>
      <c r="F213" s="89"/>
      <c r="G213" s="90"/>
      <c r="H213" s="91"/>
      <c r="I213" s="92" t="str">
        <f aca="false">IF(OR(G213="",H213=""),"",G213*H213)</f>
        <v/>
      </c>
      <c r="J213" s="89"/>
      <c r="K213" s="93" t="str">
        <f aca="true">IF(AND(F213="",D213=""),"",IF(V213="Sí","✖️ Anulado",IF(O213&lt;&gt;"",IF(OR(Q213="Con incidencia",R213&lt;&gt;""),"⚠️ Llegó con incidencia",IF(AND(P213&lt;&gt;"",N(P213)&lt;N(G213)),"🧩 Llegó incompleto","✅ Recibido")),IF(C213="","🛒 Por pedir",IF(AND(N213&lt;&gt;"",TODAY()&gt;N(N213)),"🐢 Retrasado","📦 Pedido (esperando)")))))</f>
        <v/>
      </c>
      <c r="L213" s="94" t="str">
        <f aca="true">IF(OR(N213="",C213="",K213="",K213="✖️ Anulado"),"",IF(O213&lt;&gt;"",MAX(0,O213-N213),IF(TODAY()&gt;N213,TODAY()-N213,"")))</f>
        <v/>
      </c>
      <c r="M213" s="87"/>
      <c r="N213" s="95" t="str">
        <f aca="false">IF(M213&lt;&gt;"",M213,IF(OR(C213="",D213=""),"",IFERROR(IF(INDEX(Listas!$E$5:$E$60,MATCH(D213,Listas!$B$5:$B$60,0))="","",C213+INDEX(Listas!$E$5:$E$60,MATCH(D213,Listas!$B$5:$B$60,0))),"")))</f>
        <v/>
      </c>
      <c r="O213" s="87"/>
      <c r="P213" s="90"/>
      <c r="Q213" s="96"/>
      <c r="R213" s="89"/>
      <c r="S213" s="94" t="str">
        <f aca="false">IF(OR(C213="",O213="",K213="✖️ Anulado"),"",O213-C213)</f>
        <v/>
      </c>
      <c r="T213" s="87"/>
      <c r="U213" s="92" t="str">
        <f aca="false">IF(OR(O213="",K213="✖️ Anulado",AND(T213&lt;&gt;"",T213&lt;&gt;"No")),"",N(H213)*IF(P213="",N(G213),N(P213)))</f>
        <v/>
      </c>
      <c r="V213" s="96"/>
      <c r="W213" s="89"/>
    </row>
    <row r="214" customFormat="false" ht="21" hidden="false" customHeight="true" outlineLevel="0" collapsed="false">
      <c r="A214" s="74" t="n">
        <v>210</v>
      </c>
      <c r="B214" s="86"/>
      <c r="C214" s="87"/>
      <c r="D214" s="88"/>
      <c r="E214" s="89"/>
      <c r="F214" s="89"/>
      <c r="G214" s="90"/>
      <c r="H214" s="91"/>
      <c r="I214" s="92" t="str">
        <f aca="false">IF(OR(G214="",H214=""),"",G214*H214)</f>
        <v/>
      </c>
      <c r="J214" s="89"/>
      <c r="K214" s="93" t="str">
        <f aca="true">IF(AND(F214="",D214=""),"",IF(V214="Sí","✖️ Anulado",IF(O214&lt;&gt;"",IF(OR(Q214="Con incidencia",R214&lt;&gt;""),"⚠️ Llegó con incidencia",IF(AND(P214&lt;&gt;"",N(P214)&lt;N(G214)),"🧩 Llegó incompleto","✅ Recibido")),IF(C214="","🛒 Por pedir",IF(AND(N214&lt;&gt;"",TODAY()&gt;N(N214)),"🐢 Retrasado","📦 Pedido (esperando)")))))</f>
        <v/>
      </c>
      <c r="L214" s="94" t="str">
        <f aca="true">IF(OR(N214="",C214="",K214="",K214="✖️ Anulado"),"",IF(O214&lt;&gt;"",MAX(0,O214-N214),IF(TODAY()&gt;N214,TODAY()-N214,"")))</f>
        <v/>
      </c>
      <c r="M214" s="87"/>
      <c r="N214" s="95" t="str">
        <f aca="false">IF(M214&lt;&gt;"",M214,IF(OR(C214="",D214=""),"",IFERROR(IF(INDEX(Listas!$E$5:$E$60,MATCH(D214,Listas!$B$5:$B$60,0))="","",C214+INDEX(Listas!$E$5:$E$60,MATCH(D214,Listas!$B$5:$B$60,0))),"")))</f>
        <v/>
      </c>
      <c r="O214" s="87"/>
      <c r="P214" s="90"/>
      <c r="Q214" s="96"/>
      <c r="R214" s="89"/>
      <c r="S214" s="94" t="str">
        <f aca="false">IF(OR(C214="",O214="",K214="✖️ Anulado"),"",O214-C214)</f>
        <v/>
      </c>
      <c r="T214" s="87"/>
      <c r="U214" s="92" t="str">
        <f aca="false">IF(OR(O214="",K214="✖️ Anulado",AND(T214&lt;&gt;"",T214&lt;&gt;"No")),"",N(H214)*IF(P214="",N(G214),N(P214)))</f>
        <v/>
      </c>
      <c r="V214" s="96"/>
      <c r="W214" s="89"/>
    </row>
    <row r="215" customFormat="false" ht="21" hidden="false" customHeight="true" outlineLevel="0" collapsed="false">
      <c r="A215" s="74" t="n">
        <v>211</v>
      </c>
      <c r="B215" s="86"/>
      <c r="C215" s="87"/>
      <c r="D215" s="88"/>
      <c r="E215" s="89"/>
      <c r="F215" s="89"/>
      <c r="G215" s="90"/>
      <c r="H215" s="91"/>
      <c r="I215" s="92" t="str">
        <f aca="false">IF(OR(G215="",H215=""),"",G215*H215)</f>
        <v/>
      </c>
      <c r="J215" s="89"/>
      <c r="K215" s="93" t="str">
        <f aca="true">IF(AND(F215="",D215=""),"",IF(V215="Sí","✖️ Anulado",IF(O215&lt;&gt;"",IF(OR(Q215="Con incidencia",R215&lt;&gt;""),"⚠️ Llegó con incidencia",IF(AND(P215&lt;&gt;"",N(P215)&lt;N(G215)),"🧩 Llegó incompleto","✅ Recibido")),IF(C215="","🛒 Por pedir",IF(AND(N215&lt;&gt;"",TODAY()&gt;N(N215)),"🐢 Retrasado","📦 Pedido (esperando)")))))</f>
        <v/>
      </c>
      <c r="L215" s="94" t="str">
        <f aca="true">IF(OR(N215="",C215="",K215="",K215="✖️ Anulado"),"",IF(O215&lt;&gt;"",MAX(0,O215-N215),IF(TODAY()&gt;N215,TODAY()-N215,"")))</f>
        <v/>
      </c>
      <c r="M215" s="87"/>
      <c r="N215" s="95" t="str">
        <f aca="false">IF(M215&lt;&gt;"",M215,IF(OR(C215="",D215=""),"",IFERROR(IF(INDEX(Listas!$E$5:$E$60,MATCH(D215,Listas!$B$5:$B$60,0))="","",C215+INDEX(Listas!$E$5:$E$60,MATCH(D215,Listas!$B$5:$B$60,0))),"")))</f>
        <v/>
      </c>
      <c r="O215" s="87"/>
      <c r="P215" s="90"/>
      <c r="Q215" s="96"/>
      <c r="R215" s="89"/>
      <c r="S215" s="94" t="str">
        <f aca="false">IF(OR(C215="",O215="",K215="✖️ Anulado"),"",O215-C215)</f>
        <v/>
      </c>
      <c r="T215" s="87"/>
      <c r="U215" s="92" t="str">
        <f aca="false">IF(OR(O215="",K215="✖️ Anulado",AND(T215&lt;&gt;"",T215&lt;&gt;"No")),"",N(H215)*IF(P215="",N(G215),N(P215)))</f>
        <v/>
      </c>
      <c r="V215" s="96"/>
      <c r="W215" s="89"/>
    </row>
    <row r="216" customFormat="false" ht="21" hidden="false" customHeight="true" outlineLevel="0" collapsed="false">
      <c r="A216" s="74" t="n">
        <v>212</v>
      </c>
      <c r="B216" s="86"/>
      <c r="C216" s="87"/>
      <c r="D216" s="88"/>
      <c r="E216" s="89"/>
      <c r="F216" s="89"/>
      <c r="G216" s="90"/>
      <c r="H216" s="91"/>
      <c r="I216" s="92" t="str">
        <f aca="false">IF(OR(G216="",H216=""),"",G216*H216)</f>
        <v/>
      </c>
      <c r="J216" s="89"/>
      <c r="K216" s="93" t="str">
        <f aca="true">IF(AND(F216="",D216=""),"",IF(V216="Sí","✖️ Anulado",IF(O216&lt;&gt;"",IF(OR(Q216="Con incidencia",R216&lt;&gt;""),"⚠️ Llegó con incidencia",IF(AND(P216&lt;&gt;"",N(P216)&lt;N(G216)),"🧩 Llegó incompleto","✅ Recibido")),IF(C216="","🛒 Por pedir",IF(AND(N216&lt;&gt;"",TODAY()&gt;N(N216)),"🐢 Retrasado","📦 Pedido (esperando)")))))</f>
        <v/>
      </c>
      <c r="L216" s="94" t="str">
        <f aca="true">IF(OR(N216="",C216="",K216="",K216="✖️ Anulado"),"",IF(O216&lt;&gt;"",MAX(0,O216-N216),IF(TODAY()&gt;N216,TODAY()-N216,"")))</f>
        <v/>
      </c>
      <c r="M216" s="87"/>
      <c r="N216" s="95" t="str">
        <f aca="false">IF(M216&lt;&gt;"",M216,IF(OR(C216="",D216=""),"",IFERROR(IF(INDEX(Listas!$E$5:$E$60,MATCH(D216,Listas!$B$5:$B$60,0))="","",C216+INDEX(Listas!$E$5:$E$60,MATCH(D216,Listas!$B$5:$B$60,0))),"")))</f>
        <v/>
      </c>
      <c r="O216" s="87"/>
      <c r="P216" s="90"/>
      <c r="Q216" s="96"/>
      <c r="R216" s="89"/>
      <c r="S216" s="94" t="str">
        <f aca="false">IF(OR(C216="",O216="",K216="✖️ Anulado"),"",O216-C216)</f>
        <v/>
      </c>
      <c r="T216" s="87"/>
      <c r="U216" s="92" t="str">
        <f aca="false">IF(OR(O216="",K216="✖️ Anulado",AND(T216&lt;&gt;"",T216&lt;&gt;"No")),"",N(H216)*IF(P216="",N(G216),N(P216)))</f>
        <v/>
      </c>
      <c r="V216" s="96"/>
      <c r="W216" s="89"/>
    </row>
    <row r="217" customFormat="false" ht="21" hidden="false" customHeight="true" outlineLevel="0" collapsed="false">
      <c r="A217" s="74" t="n">
        <v>213</v>
      </c>
      <c r="B217" s="86"/>
      <c r="C217" s="87"/>
      <c r="D217" s="88"/>
      <c r="E217" s="89"/>
      <c r="F217" s="89"/>
      <c r="G217" s="90"/>
      <c r="H217" s="91"/>
      <c r="I217" s="92" t="str">
        <f aca="false">IF(OR(G217="",H217=""),"",G217*H217)</f>
        <v/>
      </c>
      <c r="J217" s="89"/>
      <c r="K217" s="93" t="str">
        <f aca="true">IF(AND(F217="",D217=""),"",IF(V217="Sí","✖️ Anulado",IF(O217&lt;&gt;"",IF(OR(Q217="Con incidencia",R217&lt;&gt;""),"⚠️ Llegó con incidencia",IF(AND(P217&lt;&gt;"",N(P217)&lt;N(G217)),"🧩 Llegó incompleto","✅ Recibido")),IF(C217="","🛒 Por pedir",IF(AND(N217&lt;&gt;"",TODAY()&gt;N(N217)),"🐢 Retrasado","📦 Pedido (esperando)")))))</f>
        <v/>
      </c>
      <c r="L217" s="94" t="str">
        <f aca="true">IF(OR(N217="",C217="",K217="",K217="✖️ Anulado"),"",IF(O217&lt;&gt;"",MAX(0,O217-N217),IF(TODAY()&gt;N217,TODAY()-N217,"")))</f>
        <v/>
      </c>
      <c r="M217" s="87"/>
      <c r="N217" s="95" t="str">
        <f aca="false">IF(M217&lt;&gt;"",M217,IF(OR(C217="",D217=""),"",IFERROR(IF(INDEX(Listas!$E$5:$E$60,MATCH(D217,Listas!$B$5:$B$60,0))="","",C217+INDEX(Listas!$E$5:$E$60,MATCH(D217,Listas!$B$5:$B$60,0))),"")))</f>
        <v/>
      </c>
      <c r="O217" s="87"/>
      <c r="P217" s="90"/>
      <c r="Q217" s="96"/>
      <c r="R217" s="89"/>
      <c r="S217" s="94" t="str">
        <f aca="false">IF(OR(C217="",O217="",K217="✖️ Anulado"),"",O217-C217)</f>
        <v/>
      </c>
      <c r="T217" s="87"/>
      <c r="U217" s="92" t="str">
        <f aca="false">IF(OR(O217="",K217="✖️ Anulado",AND(T217&lt;&gt;"",T217&lt;&gt;"No")),"",N(H217)*IF(P217="",N(G217),N(P217)))</f>
        <v/>
      </c>
      <c r="V217" s="96"/>
      <c r="W217" s="89"/>
    </row>
    <row r="218" customFormat="false" ht="21" hidden="false" customHeight="true" outlineLevel="0" collapsed="false">
      <c r="A218" s="74" t="n">
        <v>214</v>
      </c>
      <c r="B218" s="86"/>
      <c r="C218" s="87"/>
      <c r="D218" s="88"/>
      <c r="E218" s="89"/>
      <c r="F218" s="89"/>
      <c r="G218" s="90"/>
      <c r="H218" s="91"/>
      <c r="I218" s="92" t="str">
        <f aca="false">IF(OR(G218="",H218=""),"",G218*H218)</f>
        <v/>
      </c>
      <c r="J218" s="89"/>
      <c r="K218" s="93" t="str">
        <f aca="true">IF(AND(F218="",D218=""),"",IF(V218="Sí","✖️ Anulado",IF(O218&lt;&gt;"",IF(OR(Q218="Con incidencia",R218&lt;&gt;""),"⚠️ Llegó con incidencia",IF(AND(P218&lt;&gt;"",N(P218)&lt;N(G218)),"🧩 Llegó incompleto","✅ Recibido")),IF(C218="","🛒 Por pedir",IF(AND(N218&lt;&gt;"",TODAY()&gt;N(N218)),"🐢 Retrasado","📦 Pedido (esperando)")))))</f>
        <v/>
      </c>
      <c r="L218" s="94" t="str">
        <f aca="true">IF(OR(N218="",C218="",K218="",K218="✖️ Anulado"),"",IF(O218&lt;&gt;"",MAX(0,O218-N218),IF(TODAY()&gt;N218,TODAY()-N218,"")))</f>
        <v/>
      </c>
      <c r="M218" s="87"/>
      <c r="N218" s="95" t="str">
        <f aca="false">IF(M218&lt;&gt;"",M218,IF(OR(C218="",D218=""),"",IFERROR(IF(INDEX(Listas!$E$5:$E$60,MATCH(D218,Listas!$B$5:$B$60,0))="","",C218+INDEX(Listas!$E$5:$E$60,MATCH(D218,Listas!$B$5:$B$60,0))),"")))</f>
        <v/>
      </c>
      <c r="O218" s="87"/>
      <c r="P218" s="90"/>
      <c r="Q218" s="96"/>
      <c r="R218" s="89"/>
      <c r="S218" s="94" t="str">
        <f aca="false">IF(OR(C218="",O218="",K218="✖️ Anulado"),"",O218-C218)</f>
        <v/>
      </c>
      <c r="T218" s="87"/>
      <c r="U218" s="92" t="str">
        <f aca="false">IF(OR(O218="",K218="✖️ Anulado",AND(T218&lt;&gt;"",T218&lt;&gt;"No")),"",N(H218)*IF(P218="",N(G218),N(P218)))</f>
        <v/>
      </c>
      <c r="V218" s="96"/>
      <c r="W218" s="89"/>
    </row>
    <row r="219" customFormat="false" ht="21" hidden="false" customHeight="true" outlineLevel="0" collapsed="false">
      <c r="A219" s="74" t="n">
        <v>215</v>
      </c>
      <c r="B219" s="86"/>
      <c r="C219" s="87"/>
      <c r="D219" s="88"/>
      <c r="E219" s="89"/>
      <c r="F219" s="89"/>
      <c r="G219" s="90"/>
      <c r="H219" s="91"/>
      <c r="I219" s="92" t="str">
        <f aca="false">IF(OR(G219="",H219=""),"",G219*H219)</f>
        <v/>
      </c>
      <c r="J219" s="89"/>
      <c r="K219" s="93" t="str">
        <f aca="true">IF(AND(F219="",D219=""),"",IF(V219="Sí","✖️ Anulado",IF(O219&lt;&gt;"",IF(OR(Q219="Con incidencia",R219&lt;&gt;""),"⚠️ Llegó con incidencia",IF(AND(P219&lt;&gt;"",N(P219)&lt;N(G219)),"🧩 Llegó incompleto","✅ Recibido")),IF(C219="","🛒 Por pedir",IF(AND(N219&lt;&gt;"",TODAY()&gt;N(N219)),"🐢 Retrasado","📦 Pedido (esperando)")))))</f>
        <v/>
      </c>
      <c r="L219" s="94" t="str">
        <f aca="true">IF(OR(N219="",C219="",K219="",K219="✖️ Anulado"),"",IF(O219&lt;&gt;"",MAX(0,O219-N219),IF(TODAY()&gt;N219,TODAY()-N219,"")))</f>
        <v/>
      </c>
      <c r="M219" s="87"/>
      <c r="N219" s="95" t="str">
        <f aca="false">IF(M219&lt;&gt;"",M219,IF(OR(C219="",D219=""),"",IFERROR(IF(INDEX(Listas!$E$5:$E$60,MATCH(D219,Listas!$B$5:$B$60,0))="","",C219+INDEX(Listas!$E$5:$E$60,MATCH(D219,Listas!$B$5:$B$60,0))),"")))</f>
        <v/>
      </c>
      <c r="O219" s="87"/>
      <c r="P219" s="90"/>
      <c r="Q219" s="96"/>
      <c r="R219" s="89"/>
      <c r="S219" s="94" t="str">
        <f aca="false">IF(OR(C219="",O219="",K219="✖️ Anulado"),"",O219-C219)</f>
        <v/>
      </c>
      <c r="T219" s="87"/>
      <c r="U219" s="92" t="str">
        <f aca="false">IF(OR(O219="",K219="✖️ Anulado",AND(T219&lt;&gt;"",T219&lt;&gt;"No")),"",N(H219)*IF(P219="",N(G219),N(P219)))</f>
        <v/>
      </c>
      <c r="V219" s="96"/>
      <c r="W219" s="89"/>
    </row>
    <row r="220" customFormat="false" ht="21" hidden="false" customHeight="true" outlineLevel="0" collapsed="false">
      <c r="A220" s="74" t="n">
        <v>216</v>
      </c>
      <c r="B220" s="86"/>
      <c r="C220" s="87"/>
      <c r="D220" s="88"/>
      <c r="E220" s="89"/>
      <c r="F220" s="89"/>
      <c r="G220" s="90"/>
      <c r="H220" s="91"/>
      <c r="I220" s="92" t="str">
        <f aca="false">IF(OR(G220="",H220=""),"",G220*H220)</f>
        <v/>
      </c>
      <c r="J220" s="89"/>
      <c r="K220" s="93" t="str">
        <f aca="true">IF(AND(F220="",D220=""),"",IF(V220="Sí","✖️ Anulado",IF(O220&lt;&gt;"",IF(OR(Q220="Con incidencia",R220&lt;&gt;""),"⚠️ Llegó con incidencia",IF(AND(P220&lt;&gt;"",N(P220)&lt;N(G220)),"🧩 Llegó incompleto","✅ Recibido")),IF(C220="","🛒 Por pedir",IF(AND(N220&lt;&gt;"",TODAY()&gt;N(N220)),"🐢 Retrasado","📦 Pedido (esperando)")))))</f>
        <v/>
      </c>
      <c r="L220" s="94" t="str">
        <f aca="true">IF(OR(N220="",C220="",K220="",K220="✖️ Anulado"),"",IF(O220&lt;&gt;"",MAX(0,O220-N220),IF(TODAY()&gt;N220,TODAY()-N220,"")))</f>
        <v/>
      </c>
      <c r="M220" s="87"/>
      <c r="N220" s="95" t="str">
        <f aca="false">IF(M220&lt;&gt;"",M220,IF(OR(C220="",D220=""),"",IFERROR(IF(INDEX(Listas!$E$5:$E$60,MATCH(D220,Listas!$B$5:$B$60,0))="","",C220+INDEX(Listas!$E$5:$E$60,MATCH(D220,Listas!$B$5:$B$60,0))),"")))</f>
        <v/>
      </c>
      <c r="O220" s="87"/>
      <c r="P220" s="90"/>
      <c r="Q220" s="96"/>
      <c r="R220" s="89"/>
      <c r="S220" s="94" t="str">
        <f aca="false">IF(OR(C220="",O220="",K220="✖️ Anulado"),"",O220-C220)</f>
        <v/>
      </c>
      <c r="T220" s="87"/>
      <c r="U220" s="92" t="str">
        <f aca="false">IF(OR(O220="",K220="✖️ Anulado",AND(T220&lt;&gt;"",T220&lt;&gt;"No")),"",N(H220)*IF(P220="",N(G220),N(P220)))</f>
        <v/>
      </c>
      <c r="V220" s="96"/>
      <c r="W220" s="89"/>
    </row>
    <row r="221" customFormat="false" ht="21" hidden="false" customHeight="true" outlineLevel="0" collapsed="false">
      <c r="A221" s="74" t="n">
        <v>217</v>
      </c>
      <c r="B221" s="86"/>
      <c r="C221" s="87"/>
      <c r="D221" s="88"/>
      <c r="E221" s="89"/>
      <c r="F221" s="89"/>
      <c r="G221" s="90"/>
      <c r="H221" s="91"/>
      <c r="I221" s="92" t="str">
        <f aca="false">IF(OR(G221="",H221=""),"",G221*H221)</f>
        <v/>
      </c>
      <c r="J221" s="89"/>
      <c r="K221" s="93" t="str">
        <f aca="true">IF(AND(F221="",D221=""),"",IF(V221="Sí","✖️ Anulado",IF(O221&lt;&gt;"",IF(OR(Q221="Con incidencia",R221&lt;&gt;""),"⚠️ Llegó con incidencia",IF(AND(P221&lt;&gt;"",N(P221)&lt;N(G221)),"🧩 Llegó incompleto","✅ Recibido")),IF(C221="","🛒 Por pedir",IF(AND(N221&lt;&gt;"",TODAY()&gt;N(N221)),"🐢 Retrasado","📦 Pedido (esperando)")))))</f>
        <v/>
      </c>
      <c r="L221" s="94" t="str">
        <f aca="true">IF(OR(N221="",C221="",K221="",K221="✖️ Anulado"),"",IF(O221&lt;&gt;"",MAX(0,O221-N221),IF(TODAY()&gt;N221,TODAY()-N221,"")))</f>
        <v/>
      </c>
      <c r="M221" s="87"/>
      <c r="N221" s="95" t="str">
        <f aca="false">IF(M221&lt;&gt;"",M221,IF(OR(C221="",D221=""),"",IFERROR(IF(INDEX(Listas!$E$5:$E$60,MATCH(D221,Listas!$B$5:$B$60,0))="","",C221+INDEX(Listas!$E$5:$E$60,MATCH(D221,Listas!$B$5:$B$60,0))),"")))</f>
        <v/>
      </c>
      <c r="O221" s="87"/>
      <c r="P221" s="90"/>
      <c r="Q221" s="96"/>
      <c r="R221" s="89"/>
      <c r="S221" s="94" t="str">
        <f aca="false">IF(OR(C221="",O221="",K221="✖️ Anulado"),"",O221-C221)</f>
        <v/>
      </c>
      <c r="T221" s="87"/>
      <c r="U221" s="92" t="str">
        <f aca="false">IF(OR(O221="",K221="✖️ Anulado",AND(T221&lt;&gt;"",T221&lt;&gt;"No")),"",N(H221)*IF(P221="",N(G221),N(P221)))</f>
        <v/>
      </c>
      <c r="V221" s="96"/>
      <c r="W221" s="89"/>
    </row>
    <row r="222" customFormat="false" ht="21" hidden="false" customHeight="true" outlineLevel="0" collapsed="false">
      <c r="A222" s="74" t="n">
        <v>218</v>
      </c>
      <c r="B222" s="86"/>
      <c r="C222" s="87"/>
      <c r="D222" s="88"/>
      <c r="E222" s="89"/>
      <c r="F222" s="89"/>
      <c r="G222" s="90"/>
      <c r="H222" s="91"/>
      <c r="I222" s="92" t="str">
        <f aca="false">IF(OR(G222="",H222=""),"",G222*H222)</f>
        <v/>
      </c>
      <c r="J222" s="89"/>
      <c r="K222" s="93" t="str">
        <f aca="true">IF(AND(F222="",D222=""),"",IF(V222="Sí","✖️ Anulado",IF(O222&lt;&gt;"",IF(OR(Q222="Con incidencia",R222&lt;&gt;""),"⚠️ Llegó con incidencia",IF(AND(P222&lt;&gt;"",N(P222)&lt;N(G222)),"🧩 Llegó incompleto","✅ Recibido")),IF(C222="","🛒 Por pedir",IF(AND(N222&lt;&gt;"",TODAY()&gt;N(N222)),"🐢 Retrasado","📦 Pedido (esperando)")))))</f>
        <v/>
      </c>
      <c r="L222" s="94" t="str">
        <f aca="true">IF(OR(N222="",C222="",K222="",K222="✖️ Anulado"),"",IF(O222&lt;&gt;"",MAX(0,O222-N222),IF(TODAY()&gt;N222,TODAY()-N222,"")))</f>
        <v/>
      </c>
      <c r="M222" s="87"/>
      <c r="N222" s="95" t="str">
        <f aca="false">IF(M222&lt;&gt;"",M222,IF(OR(C222="",D222=""),"",IFERROR(IF(INDEX(Listas!$E$5:$E$60,MATCH(D222,Listas!$B$5:$B$60,0))="","",C222+INDEX(Listas!$E$5:$E$60,MATCH(D222,Listas!$B$5:$B$60,0))),"")))</f>
        <v/>
      </c>
      <c r="O222" s="87"/>
      <c r="P222" s="90"/>
      <c r="Q222" s="96"/>
      <c r="R222" s="89"/>
      <c r="S222" s="94" t="str">
        <f aca="false">IF(OR(C222="",O222="",K222="✖️ Anulado"),"",O222-C222)</f>
        <v/>
      </c>
      <c r="T222" s="87"/>
      <c r="U222" s="92" t="str">
        <f aca="false">IF(OR(O222="",K222="✖️ Anulado",AND(T222&lt;&gt;"",T222&lt;&gt;"No")),"",N(H222)*IF(P222="",N(G222),N(P222)))</f>
        <v/>
      </c>
      <c r="V222" s="96"/>
      <c r="W222" s="89"/>
    </row>
    <row r="223" customFormat="false" ht="21" hidden="false" customHeight="true" outlineLevel="0" collapsed="false">
      <c r="A223" s="74" t="n">
        <v>219</v>
      </c>
      <c r="B223" s="86"/>
      <c r="C223" s="87"/>
      <c r="D223" s="88"/>
      <c r="E223" s="89"/>
      <c r="F223" s="89"/>
      <c r="G223" s="90"/>
      <c r="H223" s="91"/>
      <c r="I223" s="92" t="str">
        <f aca="false">IF(OR(G223="",H223=""),"",G223*H223)</f>
        <v/>
      </c>
      <c r="J223" s="89"/>
      <c r="K223" s="93" t="str">
        <f aca="true">IF(AND(F223="",D223=""),"",IF(V223="Sí","✖️ Anulado",IF(O223&lt;&gt;"",IF(OR(Q223="Con incidencia",R223&lt;&gt;""),"⚠️ Llegó con incidencia",IF(AND(P223&lt;&gt;"",N(P223)&lt;N(G223)),"🧩 Llegó incompleto","✅ Recibido")),IF(C223="","🛒 Por pedir",IF(AND(N223&lt;&gt;"",TODAY()&gt;N(N223)),"🐢 Retrasado","📦 Pedido (esperando)")))))</f>
        <v/>
      </c>
      <c r="L223" s="94" t="str">
        <f aca="true">IF(OR(N223="",C223="",K223="",K223="✖️ Anulado"),"",IF(O223&lt;&gt;"",MAX(0,O223-N223),IF(TODAY()&gt;N223,TODAY()-N223,"")))</f>
        <v/>
      </c>
      <c r="M223" s="87"/>
      <c r="N223" s="95" t="str">
        <f aca="false">IF(M223&lt;&gt;"",M223,IF(OR(C223="",D223=""),"",IFERROR(IF(INDEX(Listas!$E$5:$E$60,MATCH(D223,Listas!$B$5:$B$60,0))="","",C223+INDEX(Listas!$E$5:$E$60,MATCH(D223,Listas!$B$5:$B$60,0))),"")))</f>
        <v/>
      </c>
      <c r="O223" s="87"/>
      <c r="P223" s="90"/>
      <c r="Q223" s="96"/>
      <c r="R223" s="89"/>
      <c r="S223" s="94" t="str">
        <f aca="false">IF(OR(C223="",O223="",K223="✖️ Anulado"),"",O223-C223)</f>
        <v/>
      </c>
      <c r="T223" s="87"/>
      <c r="U223" s="92" t="str">
        <f aca="false">IF(OR(O223="",K223="✖️ Anulado",AND(T223&lt;&gt;"",T223&lt;&gt;"No")),"",N(H223)*IF(P223="",N(G223),N(P223)))</f>
        <v/>
      </c>
      <c r="V223" s="96"/>
      <c r="W223" s="89"/>
    </row>
    <row r="224" customFormat="false" ht="21" hidden="false" customHeight="true" outlineLevel="0" collapsed="false">
      <c r="A224" s="74" t="n">
        <v>220</v>
      </c>
      <c r="B224" s="86"/>
      <c r="C224" s="87"/>
      <c r="D224" s="88"/>
      <c r="E224" s="89"/>
      <c r="F224" s="89"/>
      <c r="G224" s="90"/>
      <c r="H224" s="91"/>
      <c r="I224" s="92" t="str">
        <f aca="false">IF(OR(G224="",H224=""),"",G224*H224)</f>
        <v/>
      </c>
      <c r="J224" s="89"/>
      <c r="K224" s="93" t="str">
        <f aca="true">IF(AND(F224="",D224=""),"",IF(V224="Sí","✖️ Anulado",IF(O224&lt;&gt;"",IF(OR(Q224="Con incidencia",R224&lt;&gt;""),"⚠️ Llegó con incidencia",IF(AND(P224&lt;&gt;"",N(P224)&lt;N(G224)),"🧩 Llegó incompleto","✅ Recibido")),IF(C224="","🛒 Por pedir",IF(AND(N224&lt;&gt;"",TODAY()&gt;N(N224)),"🐢 Retrasado","📦 Pedido (esperando)")))))</f>
        <v/>
      </c>
      <c r="L224" s="94" t="str">
        <f aca="true">IF(OR(N224="",C224="",K224="",K224="✖️ Anulado"),"",IF(O224&lt;&gt;"",MAX(0,O224-N224),IF(TODAY()&gt;N224,TODAY()-N224,"")))</f>
        <v/>
      </c>
      <c r="M224" s="87"/>
      <c r="N224" s="95" t="str">
        <f aca="false">IF(M224&lt;&gt;"",M224,IF(OR(C224="",D224=""),"",IFERROR(IF(INDEX(Listas!$E$5:$E$60,MATCH(D224,Listas!$B$5:$B$60,0))="","",C224+INDEX(Listas!$E$5:$E$60,MATCH(D224,Listas!$B$5:$B$60,0))),"")))</f>
        <v/>
      </c>
      <c r="O224" s="87"/>
      <c r="P224" s="90"/>
      <c r="Q224" s="96"/>
      <c r="R224" s="89"/>
      <c r="S224" s="94" t="str">
        <f aca="false">IF(OR(C224="",O224="",K224="✖️ Anulado"),"",O224-C224)</f>
        <v/>
      </c>
      <c r="T224" s="87"/>
      <c r="U224" s="92" t="str">
        <f aca="false">IF(OR(O224="",K224="✖️ Anulado",AND(T224&lt;&gt;"",T224&lt;&gt;"No")),"",N(H224)*IF(P224="",N(G224),N(P224)))</f>
        <v/>
      </c>
      <c r="V224" s="96"/>
      <c r="W224" s="89"/>
    </row>
    <row r="225" customFormat="false" ht="21" hidden="false" customHeight="true" outlineLevel="0" collapsed="false">
      <c r="A225" s="74" t="n">
        <v>221</v>
      </c>
      <c r="B225" s="86"/>
      <c r="C225" s="87"/>
      <c r="D225" s="88"/>
      <c r="E225" s="89"/>
      <c r="F225" s="89"/>
      <c r="G225" s="90"/>
      <c r="H225" s="91"/>
      <c r="I225" s="92" t="str">
        <f aca="false">IF(OR(G225="",H225=""),"",G225*H225)</f>
        <v/>
      </c>
      <c r="J225" s="89"/>
      <c r="K225" s="93" t="str">
        <f aca="true">IF(AND(F225="",D225=""),"",IF(V225="Sí","✖️ Anulado",IF(O225&lt;&gt;"",IF(OR(Q225="Con incidencia",R225&lt;&gt;""),"⚠️ Llegó con incidencia",IF(AND(P225&lt;&gt;"",N(P225)&lt;N(G225)),"🧩 Llegó incompleto","✅ Recibido")),IF(C225="","🛒 Por pedir",IF(AND(N225&lt;&gt;"",TODAY()&gt;N(N225)),"🐢 Retrasado","📦 Pedido (esperando)")))))</f>
        <v/>
      </c>
      <c r="L225" s="94" t="str">
        <f aca="true">IF(OR(N225="",C225="",K225="",K225="✖️ Anulado"),"",IF(O225&lt;&gt;"",MAX(0,O225-N225),IF(TODAY()&gt;N225,TODAY()-N225,"")))</f>
        <v/>
      </c>
      <c r="M225" s="87"/>
      <c r="N225" s="95" t="str">
        <f aca="false">IF(M225&lt;&gt;"",M225,IF(OR(C225="",D225=""),"",IFERROR(IF(INDEX(Listas!$E$5:$E$60,MATCH(D225,Listas!$B$5:$B$60,0))="","",C225+INDEX(Listas!$E$5:$E$60,MATCH(D225,Listas!$B$5:$B$60,0))),"")))</f>
        <v/>
      </c>
      <c r="O225" s="87"/>
      <c r="P225" s="90"/>
      <c r="Q225" s="96"/>
      <c r="R225" s="89"/>
      <c r="S225" s="94" t="str">
        <f aca="false">IF(OR(C225="",O225="",K225="✖️ Anulado"),"",O225-C225)</f>
        <v/>
      </c>
      <c r="T225" s="87"/>
      <c r="U225" s="92" t="str">
        <f aca="false">IF(OR(O225="",K225="✖️ Anulado",AND(T225&lt;&gt;"",T225&lt;&gt;"No")),"",N(H225)*IF(P225="",N(G225),N(P225)))</f>
        <v/>
      </c>
      <c r="V225" s="96"/>
      <c r="W225" s="89"/>
    </row>
    <row r="226" customFormat="false" ht="21" hidden="false" customHeight="true" outlineLevel="0" collapsed="false">
      <c r="A226" s="74" t="n">
        <v>222</v>
      </c>
      <c r="B226" s="86"/>
      <c r="C226" s="87"/>
      <c r="D226" s="88"/>
      <c r="E226" s="89"/>
      <c r="F226" s="89"/>
      <c r="G226" s="90"/>
      <c r="H226" s="91"/>
      <c r="I226" s="92" t="str">
        <f aca="false">IF(OR(G226="",H226=""),"",G226*H226)</f>
        <v/>
      </c>
      <c r="J226" s="89"/>
      <c r="K226" s="93" t="str">
        <f aca="true">IF(AND(F226="",D226=""),"",IF(V226="Sí","✖️ Anulado",IF(O226&lt;&gt;"",IF(OR(Q226="Con incidencia",R226&lt;&gt;""),"⚠️ Llegó con incidencia",IF(AND(P226&lt;&gt;"",N(P226)&lt;N(G226)),"🧩 Llegó incompleto","✅ Recibido")),IF(C226="","🛒 Por pedir",IF(AND(N226&lt;&gt;"",TODAY()&gt;N(N226)),"🐢 Retrasado","📦 Pedido (esperando)")))))</f>
        <v/>
      </c>
      <c r="L226" s="94" t="str">
        <f aca="true">IF(OR(N226="",C226="",K226="",K226="✖️ Anulado"),"",IF(O226&lt;&gt;"",MAX(0,O226-N226),IF(TODAY()&gt;N226,TODAY()-N226,"")))</f>
        <v/>
      </c>
      <c r="M226" s="87"/>
      <c r="N226" s="95" t="str">
        <f aca="false">IF(M226&lt;&gt;"",M226,IF(OR(C226="",D226=""),"",IFERROR(IF(INDEX(Listas!$E$5:$E$60,MATCH(D226,Listas!$B$5:$B$60,0))="","",C226+INDEX(Listas!$E$5:$E$60,MATCH(D226,Listas!$B$5:$B$60,0))),"")))</f>
        <v/>
      </c>
      <c r="O226" s="87"/>
      <c r="P226" s="90"/>
      <c r="Q226" s="96"/>
      <c r="R226" s="89"/>
      <c r="S226" s="94" t="str">
        <f aca="false">IF(OR(C226="",O226="",K226="✖️ Anulado"),"",O226-C226)</f>
        <v/>
      </c>
      <c r="T226" s="87"/>
      <c r="U226" s="92" t="str">
        <f aca="false">IF(OR(O226="",K226="✖️ Anulado",AND(T226&lt;&gt;"",T226&lt;&gt;"No")),"",N(H226)*IF(P226="",N(G226),N(P226)))</f>
        <v/>
      </c>
      <c r="V226" s="96"/>
      <c r="W226" s="89"/>
    </row>
    <row r="227" customFormat="false" ht="21" hidden="false" customHeight="true" outlineLevel="0" collapsed="false">
      <c r="A227" s="74" t="n">
        <v>223</v>
      </c>
      <c r="B227" s="86"/>
      <c r="C227" s="87"/>
      <c r="D227" s="88"/>
      <c r="E227" s="89"/>
      <c r="F227" s="89"/>
      <c r="G227" s="90"/>
      <c r="H227" s="91"/>
      <c r="I227" s="92" t="str">
        <f aca="false">IF(OR(G227="",H227=""),"",G227*H227)</f>
        <v/>
      </c>
      <c r="J227" s="89"/>
      <c r="K227" s="93" t="str">
        <f aca="true">IF(AND(F227="",D227=""),"",IF(V227="Sí","✖️ Anulado",IF(O227&lt;&gt;"",IF(OR(Q227="Con incidencia",R227&lt;&gt;""),"⚠️ Llegó con incidencia",IF(AND(P227&lt;&gt;"",N(P227)&lt;N(G227)),"🧩 Llegó incompleto","✅ Recibido")),IF(C227="","🛒 Por pedir",IF(AND(N227&lt;&gt;"",TODAY()&gt;N(N227)),"🐢 Retrasado","📦 Pedido (esperando)")))))</f>
        <v/>
      </c>
      <c r="L227" s="94" t="str">
        <f aca="true">IF(OR(N227="",C227="",K227="",K227="✖️ Anulado"),"",IF(O227&lt;&gt;"",MAX(0,O227-N227),IF(TODAY()&gt;N227,TODAY()-N227,"")))</f>
        <v/>
      </c>
      <c r="M227" s="87"/>
      <c r="N227" s="95" t="str">
        <f aca="false">IF(M227&lt;&gt;"",M227,IF(OR(C227="",D227=""),"",IFERROR(IF(INDEX(Listas!$E$5:$E$60,MATCH(D227,Listas!$B$5:$B$60,0))="","",C227+INDEX(Listas!$E$5:$E$60,MATCH(D227,Listas!$B$5:$B$60,0))),"")))</f>
        <v/>
      </c>
      <c r="O227" s="87"/>
      <c r="P227" s="90"/>
      <c r="Q227" s="96"/>
      <c r="R227" s="89"/>
      <c r="S227" s="94" t="str">
        <f aca="false">IF(OR(C227="",O227="",K227="✖️ Anulado"),"",O227-C227)</f>
        <v/>
      </c>
      <c r="T227" s="87"/>
      <c r="U227" s="92" t="str">
        <f aca="false">IF(OR(O227="",K227="✖️ Anulado",AND(T227&lt;&gt;"",T227&lt;&gt;"No")),"",N(H227)*IF(P227="",N(G227),N(P227)))</f>
        <v/>
      </c>
      <c r="V227" s="96"/>
      <c r="W227" s="89"/>
    </row>
    <row r="228" customFormat="false" ht="21" hidden="false" customHeight="true" outlineLevel="0" collapsed="false">
      <c r="A228" s="74" t="n">
        <v>224</v>
      </c>
      <c r="B228" s="86"/>
      <c r="C228" s="87"/>
      <c r="D228" s="88"/>
      <c r="E228" s="89"/>
      <c r="F228" s="89"/>
      <c r="G228" s="90"/>
      <c r="H228" s="91"/>
      <c r="I228" s="92" t="str">
        <f aca="false">IF(OR(G228="",H228=""),"",G228*H228)</f>
        <v/>
      </c>
      <c r="J228" s="89"/>
      <c r="K228" s="93" t="str">
        <f aca="true">IF(AND(F228="",D228=""),"",IF(V228="Sí","✖️ Anulado",IF(O228&lt;&gt;"",IF(OR(Q228="Con incidencia",R228&lt;&gt;""),"⚠️ Llegó con incidencia",IF(AND(P228&lt;&gt;"",N(P228)&lt;N(G228)),"🧩 Llegó incompleto","✅ Recibido")),IF(C228="","🛒 Por pedir",IF(AND(N228&lt;&gt;"",TODAY()&gt;N(N228)),"🐢 Retrasado","📦 Pedido (esperando)")))))</f>
        <v/>
      </c>
      <c r="L228" s="94" t="str">
        <f aca="true">IF(OR(N228="",C228="",K228="",K228="✖️ Anulado"),"",IF(O228&lt;&gt;"",MAX(0,O228-N228),IF(TODAY()&gt;N228,TODAY()-N228,"")))</f>
        <v/>
      </c>
      <c r="M228" s="87"/>
      <c r="N228" s="95" t="str">
        <f aca="false">IF(M228&lt;&gt;"",M228,IF(OR(C228="",D228=""),"",IFERROR(IF(INDEX(Listas!$E$5:$E$60,MATCH(D228,Listas!$B$5:$B$60,0))="","",C228+INDEX(Listas!$E$5:$E$60,MATCH(D228,Listas!$B$5:$B$60,0))),"")))</f>
        <v/>
      </c>
      <c r="O228" s="87"/>
      <c r="P228" s="90"/>
      <c r="Q228" s="96"/>
      <c r="R228" s="89"/>
      <c r="S228" s="94" t="str">
        <f aca="false">IF(OR(C228="",O228="",K228="✖️ Anulado"),"",O228-C228)</f>
        <v/>
      </c>
      <c r="T228" s="87"/>
      <c r="U228" s="92" t="str">
        <f aca="false">IF(OR(O228="",K228="✖️ Anulado",AND(T228&lt;&gt;"",T228&lt;&gt;"No")),"",N(H228)*IF(P228="",N(G228),N(P228)))</f>
        <v/>
      </c>
      <c r="V228" s="96"/>
      <c r="W228" s="89"/>
    </row>
    <row r="229" customFormat="false" ht="21" hidden="false" customHeight="true" outlineLevel="0" collapsed="false">
      <c r="A229" s="74" t="n">
        <v>225</v>
      </c>
      <c r="B229" s="86"/>
      <c r="C229" s="87"/>
      <c r="D229" s="88"/>
      <c r="E229" s="89"/>
      <c r="F229" s="89"/>
      <c r="G229" s="90"/>
      <c r="H229" s="91"/>
      <c r="I229" s="92" t="str">
        <f aca="false">IF(OR(G229="",H229=""),"",G229*H229)</f>
        <v/>
      </c>
      <c r="J229" s="89"/>
      <c r="K229" s="93" t="str">
        <f aca="true">IF(AND(F229="",D229=""),"",IF(V229="Sí","✖️ Anulado",IF(O229&lt;&gt;"",IF(OR(Q229="Con incidencia",R229&lt;&gt;""),"⚠️ Llegó con incidencia",IF(AND(P229&lt;&gt;"",N(P229)&lt;N(G229)),"🧩 Llegó incompleto","✅ Recibido")),IF(C229="","🛒 Por pedir",IF(AND(N229&lt;&gt;"",TODAY()&gt;N(N229)),"🐢 Retrasado","📦 Pedido (esperando)")))))</f>
        <v/>
      </c>
      <c r="L229" s="94" t="str">
        <f aca="true">IF(OR(N229="",C229="",K229="",K229="✖️ Anulado"),"",IF(O229&lt;&gt;"",MAX(0,O229-N229),IF(TODAY()&gt;N229,TODAY()-N229,"")))</f>
        <v/>
      </c>
      <c r="M229" s="87"/>
      <c r="N229" s="95" t="str">
        <f aca="false">IF(M229&lt;&gt;"",M229,IF(OR(C229="",D229=""),"",IFERROR(IF(INDEX(Listas!$E$5:$E$60,MATCH(D229,Listas!$B$5:$B$60,0))="","",C229+INDEX(Listas!$E$5:$E$60,MATCH(D229,Listas!$B$5:$B$60,0))),"")))</f>
        <v/>
      </c>
      <c r="O229" s="87"/>
      <c r="P229" s="90"/>
      <c r="Q229" s="96"/>
      <c r="R229" s="89"/>
      <c r="S229" s="94" t="str">
        <f aca="false">IF(OR(C229="",O229="",K229="✖️ Anulado"),"",O229-C229)</f>
        <v/>
      </c>
      <c r="T229" s="87"/>
      <c r="U229" s="92" t="str">
        <f aca="false">IF(OR(O229="",K229="✖️ Anulado",AND(T229&lt;&gt;"",T229&lt;&gt;"No")),"",N(H229)*IF(P229="",N(G229),N(P229)))</f>
        <v/>
      </c>
      <c r="V229" s="96"/>
      <c r="W229" s="89"/>
    </row>
    <row r="230" customFormat="false" ht="21" hidden="false" customHeight="true" outlineLevel="0" collapsed="false">
      <c r="A230" s="74" t="n">
        <v>226</v>
      </c>
      <c r="B230" s="86"/>
      <c r="C230" s="87"/>
      <c r="D230" s="88"/>
      <c r="E230" s="89"/>
      <c r="F230" s="89"/>
      <c r="G230" s="90"/>
      <c r="H230" s="91"/>
      <c r="I230" s="92" t="str">
        <f aca="false">IF(OR(G230="",H230=""),"",G230*H230)</f>
        <v/>
      </c>
      <c r="J230" s="89"/>
      <c r="K230" s="93" t="str">
        <f aca="true">IF(AND(F230="",D230=""),"",IF(V230="Sí","✖️ Anulado",IF(O230&lt;&gt;"",IF(OR(Q230="Con incidencia",R230&lt;&gt;""),"⚠️ Llegó con incidencia",IF(AND(P230&lt;&gt;"",N(P230)&lt;N(G230)),"🧩 Llegó incompleto","✅ Recibido")),IF(C230="","🛒 Por pedir",IF(AND(N230&lt;&gt;"",TODAY()&gt;N(N230)),"🐢 Retrasado","📦 Pedido (esperando)")))))</f>
        <v/>
      </c>
      <c r="L230" s="94" t="str">
        <f aca="true">IF(OR(N230="",C230="",K230="",K230="✖️ Anulado"),"",IF(O230&lt;&gt;"",MAX(0,O230-N230),IF(TODAY()&gt;N230,TODAY()-N230,"")))</f>
        <v/>
      </c>
      <c r="M230" s="87"/>
      <c r="N230" s="95" t="str">
        <f aca="false">IF(M230&lt;&gt;"",M230,IF(OR(C230="",D230=""),"",IFERROR(IF(INDEX(Listas!$E$5:$E$60,MATCH(D230,Listas!$B$5:$B$60,0))="","",C230+INDEX(Listas!$E$5:$E$60,MATCH(D230,Listas!$B$5:$B$60,0))),"")))</f>
        <v/>
      </c>
      <c r="O230" s="87"/>
      <c r="P230" s="90"/>
      <c r="Q230" s="96"/>
      <c r="R230" s="89"/>
      <c r="S230" s="94" t="str">
        <f aca="false">IF(OR(C230="",O230="",K230="✖️ Anulado"),"",O230-C230)</f>
        <v/>
      </c>
      <c r="T230" s="87"/>
      <c r="U230" s="92" t="str">
        <f aca="false">IF(OR(O230="",K230="✖️ Anulado",AND(T230&lt;&gt;"",T230&lt;&gt;"No")),"",N(H230)*IF(P230="",N(G230),N(P230)))</f>
        <v/>
      </c>
      <c r="V230" s="96"/>
      <c r="W230" s="89"/>
    </row>
    <row r="231" customFormat="false" ht="21" hidden="false" customHeight="true" outlineLevel="0" collapsed="false">
      <c r="A231" s="74" t="n">
        <v>227</v>
      </c>
      <c r="B231" s="86"/>
      <c r="C231" s="87"/>
      <c r="D231" s="88"/>
      <c r="E231" s="89"/>
      <c r="F231" s="89"/>
      <c r="G231" s="90"/>
      <c r="H231" s="91"/>
      <c r="I231" s="92" t="str">
        <f aca="false">IF(OR(G231="",H231=""),"",G231*H231)</f>
        <v/>
      </c>
      <c r="J231" s="89"/>
      <c r="K231" s="93" t="str">
        <f aca="true">IF(AND(F231="",D231=""),"",IF(V231="Sí","✖️ Anulado",IF(O231&lt;&gt;"",IF(OR(Q231="Con incidencia",R231&lt;&gt;""),"⚠️ Llegó con incidencia",IF(AND(P231&lt;&gt;"",N(P231)&lt;N(G231)),"🧩 Llegó incompleto","✅ Recibido")),IF(C231="","🛒 Por pedir",IF(AND(N231&lt;&gt;"",TODAY()&gt;N(N231)),"🐢 Retrasado","📦 Pedido (esperando)")))))</f>
        <v/>
      </c>
      <c r="L231" s="94" t="str">
        <f aca="true">IF(OR(N231="",C231="",K231="",K231="✖️ Anulado"),"",IF(O231&lt;&gt;"",MAX(0,O231-N231),IF(TODAY()&gt;N231,TODAY()-N231,"")))</f>
        <v/>
      </c>
      <c r="M231" s="87"/>
      <c r="N231" s="95" t="str">
        <f aca="false">IF(M231&lt;&gt;"",M231,IF(OR(C231="",D231=""),"",IFERROR(IF(INDEX(Listas!$E$5:$E$60,MATCH(D231,Listas!$B$5:$B$60,0))="","",C231+INDEX(Listas!$E$5:$E$60,MATCH(D231,Listas!$B$5:$B$60,0))),"")))</f>
        <v/>
      </c>
      <c r="O231" s="87"/>
      <c r="P231" s="90"/>
      <c r="Q231" s="96"/>
      <c r="R231" s="89"/>
      <c r="S231" s="94" t="str">
        <f aca="false">IF(OR(C231="",O231="",K231="✖️ Anulado"),"",O231-C231)</f>
        <v/>
      </c>
      <c r="T231" s="87"/>
      <c r="U231" s="92" t="str">
        <f aca="false">IF(OR(O231="",K231="✖️ Anulado",AND(T231&lt;&gt;"",T231&lt;&gt;"No")),"",N(H231)*IF(P231="",N(G231),N(P231)))</f>
        <v/>
      </c>
      <c r="V231" s="96"/>
      <c r="W231" s="89"/>
    </row>
    <row r="232" customFormat="false" ht="21" hidden="false" customHeight="true" outlineLevel="0" collapsed="false">
      <c r="A232" s="74" t="n">
        <v>228</v>
      </c>
      <c r="B232" s="86"/>
      <c r="C232" s="87"/>
      <c r="D232" s="88"/>
      <c r="E232" s="89"/>
      <c r="F232" s="89"/>
      <c r="G232" s="90"/>
      <c r="H232" s="91"/>
      <c r="I232" s="92" t="str">
        <f aca="false">IF(OR(G232="",H232=""),"",G232*H232)</f>
        <v/>
      </c>
      <c r="J232" s="89"/>
      <c r="K232" s="93" t="str">
        <f aca="true">IF(AND(F232="",D232=""),"",IF(V232="Sí","✖️ Anulado",IF(O232&lt;&gt;"",IF(OR(Q232="Con incidencia",R232&lt;&gt;""),"⚠️ Llegó con incidencia",IF(AND(P232&lt;&gt;"",N(P232)&lt;N(G232)),"🧩 Llegó incompleto","✅ Recibido")),IF(C232="","🛒 Por pedir",IF(AND(N232&lt;&gt;"",TODAY()&gt;N(N232)),"🐢 Retrasado","📦 Pedido (esperando)")))))</f>
        <v/>
      </c>
      <c r="L232" s="94" t="str">
        <f aca="true">IF(OR(N232="",C232="",K232="",K232="✖️ Anulado"),"",IF(O232&lt;&gt;"",MAX(0,O232-N232),IF(TODAY()&gt;N232,TODAY()-N232,"")))</f>
        <v/>
      </c>
      <c r="M232" s="87"/>
      <c r="N232" s="95" t="str">
        <f aca="false">IF(M232&lt;&gt;"",M232,IF(OR(C232="",D232=""),"",IFERROR(IF(INDEX(Listas!$E$5:$E$60,MATCH(D232,Listas!$B$5:$B$60,0))="","",C232+INDEX(Listas!$E$5:$E$60,MATCH(D232,Listas!$B$5:$B$60,0))),"")))</f>
        <v/>
      </c>
      <c r="O232" s="87"/>
      <c r="P232" s="90"/>
      <c r="Q232" s="96"/>
      <c r="R232" s="89"/>
      <c r="S232" s="94" t="str">
        <f aca="false">IF(OR(C232="",O232="",K232="✖️ Anulado"),"",O232-C232)</f>
        <v/>
      </c>
      <c r="T232" s="87"/>
      <c r="U232" s="92" t="str">
        <f aca="false">IF(OR(O232="",K232="✖️ Anulado",AND(T232&lt;&gt;"",T232&lt;&gt;"No")),"",N(H232)*IF(P232="",N(G232),N(P232)))</f>
        <v/>
      </c>
      <c r="V232" s="96"/>
      <c r="W232" s="89"/>
    </row>
    <row r="233" customFormat="false" ht="21" hidden="false" customHeight="true" outlineLevel="0" collapsed="false">
      <c r="A233" s="74" t="n">
        <v>229</v>
      </c>
      <c r="B233" s="86"/>
      <c r="C233" s="87"/>
      <c r="D233" s="88"/>
      <c r="E233" s="89"/>
      <c r="F233" s="89"/>
      <c r="G233" s="90"/>
      <c r="H233" s="91"/>
      <c r="I233" s="92" t="str">
        <f aca="false">IF(OR(G233="",H233=""),"",G233*H233)</f>
        <v/>
      </c>
      <c r="J233" s="89"/>
      <c r="K233" s="93" t="str">
        <f aca="true">IF(AND(F233="",D233=""),"",IF(V233="Sí","✖️ Anulado",IF(O233&lt;&gt;"",IF(OR(Q233="Con incidencia",R233&lt;&gt;""),"⚠️ Llegó con incidencia",IF(AND(P233&lt;&gt;"",N(P233)&lt;N(G233)),"🧩 Llegó incompleto","✅ Recibido")),IF(C233="","🛒 Por pedir",IF(AND(N233&lt;&gt;"",TODAY()&gt;N(N233)),"🐢 Retrasado","📦 Pedido (esperando)")))))</f>
        <v/>
      </c>
      <c r="L233" s="94" t="str">
        <f aca="true">IF(OR(N233="",C233="",K233="",K233="✖️ Anulado"),"",IF(O233&lt;&gt;"",MAX(0,O233-N233),IF(TODAY()&gt;N233,TODAY()-N233,"")))</f>
        <v/>
      </c>
      <c r="M233" s="87"/>
      <c r="N233" s="95" t="str">
        <f aca="false">IF(M233&lt;&gt;"",M233,IF(OR(C233="",D233=""),"",IFERROR(IF(INDEX(Listas!$E$5:$E$60,MATCH(D233,Listas!$B$5:$B$60,0))="","",C233+INDEX(Listas!$E$5:$E$60,MATCH(D233,Listas!$B$5:$B$60,0))),"")))</f>
        <v/>
      </c>
      <c r="O233" s="87"/>
      <c r="P233" s="90"/>
      <c r="Q233" s="96"/>
      <c r="R233" s="89"/>
      <c r="S233" s="94" t="str">
        <f aca="false">IF(OR(C233="",O233="",K233="✖️ Anulado"),"",O233-C233)</f>
        <v/>
      </c>
      <c r="T233" s="87"/>
      <c r="U233" s="92" t="str">
        <f aca="false">IF(OR(O233="",K233="✖️ Anulado",AND(T233&lt;&gt;"",T233&lt;&gt;"No")),"",N(H233)*IF(P233="",N(G233),N(P233)))</f>
        <v/>
      </c>
      <c r="V233" s="96"/>
      <c r="W233" s="89"/>
    </row>
    <row r="234" customFormat="false" ht="21" hidden="false" customHeight="true" outlineLevel="0" collapsed="false">
      <c r="A234" s="74" t="n">
        <v>230</v>
      </c>
      <c r="B234" s="86"/>
      <c r="C234" s="87"/>
      <c r="D234" s="88"/>
      <c r="E234" s="89"/>
      <c r="F234" s="89"/>
      <c r="G234" s="90"/>
      <c r="H234" s="91"/>
      <c r="I234" s="92" t="str">
        <f aca="false">IF(OR(G234="",H234=""),"",G234*H234)</f>
        <v/>
      </c>
      <c r="J234" s="89"/>
      <c r="K234" s="93" t="str">
        <f aca="true">IF(AND(F234="",D234=""),"",IF(V234="Sí","✖️ Anulado",IF(O234&lt;&gt;"",IF(OR(Q234="Con incidencia",R234&lt;&gt;""),"⚠️ Llegó con incidencia",IF(AND(P234&lt;&gt;"",N(P234)&lt;N(G234)),"🧩 Llegó incompleto","✅ Recibido")),IF(C234="","🛒 Por pedir",IF(AND(N234&lt;&gt;"",TODAY()&gt;N(N234)),"🐢 Retrasado","📦 Pedido (esperando)")))))</f>
        <v/>
      </c>
      <c r="L234" s="94" t="str">
        <f aca="true">IF(OR(N234="",C234="",K234="",K234="✖️ Anulado"),"",IF(O234&lt;&gt;"",MAX(0,O234-N234),IF(TODAY()&gt;N234,TODAY()-N234,"")))</f>
        <v/>
      </c>
      <c r="M234" s="87"/>
      <c r="N234" s="95" t="str">
        <f aca="false">IF(M234&lt;&gt;"",M234,IF(OR(C234="",D234=""),"",IFERROR(IF(INDEX(Listas!$E$5:$E$60,MATCH(D234,Listas!$B$5:$B$60,0))="","",C234+INDEX(Listas!$E$5:$E$60,MATCH(D234,Listas!$B$5:$B$60,0))),"")))</f>
        <v/>
      </c>
      <c r="O234" s="87"/>
      <c r="P234" s="90"/>
      <c r="Q234" s="96"/>
      <c r="R234" s="89"/>
      <c r="S234" s="94" t="str">
        <f aca="false">IF(OR(C234="",O234="",K234="✖️ Anulado"),"",O234-C234)</f>
        <v/>
      </c>
      <c r="T234" s="87"/>
      <c r="U234" s="92" t="str">
        <f aca="false">IF(OR(O234="",K234="✖️ Anulado",AND(T234&lt;&gt;"",T234&lt;&gt;"No")),"",N(H234)*IF(P234="",N(G234),N(P234)))</f>
        <v/>
      </c>
      <c r="V234" s="96"/>
      <c r="W234" s="89"/>
    </row>
    <row r="235" customFormat="false" ht="21" hidden="false" customHeight="true" outlineLevel="0" collapsed="false">
      <c r="A235" s="74" t="n">
        <v>231</v>
      </c>
      <c r="B235" s="86"/>
      <c r="C235" s="87"/>
      <c r="D235" s="88"/>
      <c r="E235" s="89"/>
      <c r="F235" s="89"/>
      <c r="G235" s="90"/>
      <c r="H235" s="91"/>
      <c r="I235" s="92" t="str">
        <f aca="false">IF(OR(G235="",H235=""),"",G235*H235)</f>
        <v/>
      </c>
      <c r="J235" s="89"/>
      <c r="K235" s="93" t="str">
        <f aca="true">IF(AND(F235="",D235=""),"",IF(V235="Sí","✖️ Anulado",IF(O235&lt;&gt;"",IF(OR(Q235="Con incidencia",R235&lt;&gt;""),"⚠️ Llegó con incidencia",IF(AND(P235&lt;&gt;"",N(P235)&lt;N(G235)),"🧩 Llegó incompleto","✅ Recibido")),IF(C235="","🛒 Por pedir",IF(AND(N235&lt;&gt;"",TODAY()&gt;N(N235)),"🐢 Retrasado","📦 Pedido (esperando)")))))</f>
        <v/>
      </c>
      <c r="L235" s="94" t="str">
        <f aca="true">IF(OR(N235="",C235="",K235="",K235="✖️ Anulado"),"",IF(O235&lt;&gt;"",MAX(0,O235-N235),IF(TODAY()&gt;N235,TODAY()-N235,"")))</f>
        <v/>
      </c>
      <c r="M235" s="87"/>
      <c r="N235" s="95" t="str">
        <f aca="false">IF(M235&lt;&gt;"",M235,IF(OR(C235="",D235=""),"",IFERROR(IF(INDEX(Listas!$E$5:$E$60,MATCH(D235,Listas!$B$5:$B$60,0))="","",C235+INDEX(Listas!$E$5:$E$60,MATCH(D235,Listas!$B$5:$B$60,0))),"")))</f>
        <v/>
      </c>
      <c r="O235" s="87"/>
      <c r="P235" s="90"/>
      <c r="Q235" s="96"/>
      <c r="R235" s="89"/>
      <c r="S235" s="94" t="str">
        <f aca="false">IF(OR(C235="",O235="",K235="✖️ Anulado"),"",O235-C235)</f>
        <v/>
      </c>
      <c r="T235" s="87"/>
      <c r="U235" s="92" t="str">
        <f aca="false">IF(OR(O235="",K235="✖️ Anulado",AND(T235&lt;&gt;"",T235&lt;&gt;"No")),"",N(H235)*IF(P235="",N(G235),N(P235)))</f>
        <v/>
      </c>
      <c r="V235" s="96"/>
      <c r="W235" s="89"/>
    </row>
    <row r="236" customFormat="false" ht="21" hidden="false" customHeight="true" outlineLevel="0" collapsed="false">
      <c r="A236" s="74" t="n">
        <v>232</v>
      </c>
      <c r="B236" s="86"/>
      <c r="C236" s="87"/>
      <c r="D236" s="88"/>
      <c r="E236" s="89"/>
      <c r="F236" s="89"/>
      <c r="G236" s="90"/>
      <c r="H236" s="91"/>
      <c r="I236" s="92" t="str">
        <f aca="false">IF(OR(G236="",H236=""),"",G236*H236)</f>
        <v/>
      </c>
      <c r="J236" s="89"/>
      <c r="K236" s="93" t="str">
        <f aca="true">IF(AND(F236="",D236=""),"",IF(V236="Sí","✖️ Anulado",IF(O236&lt;&gt;"",IF(OR(Q236="Con incidencia",R236&lt;&gt;""),"⚠️ Llegó con incidencia",IF(AND(P236&lt;&gt;"",N(P236)&lt;N(G236)),"🧩 Llegó incompleto","✅ Recibido")),IF(C236="","🛒 Por pedir",IF(AND(N236&lt;&gt;"",TODAY()&gt;N(N236)),"🐢 Retrasado","📦 Pedido (esperando)")))))</f>
        <v/>
      </c>
      <c r="L236" s="94" t="str">
        <f aca="true">IF(OR(N236="",C236="",K236="",K236="✖️ Anulado"),"",IF(O236&lt;&gt;"",MAX(0,O236-N236),IF(TODAY()&gt;N236,TODAY()-N236,"")))</f>
        <v/>
      </c>
      <c r="M236" s="87"/>
      <c r="N236" s="95" t="str">
        <f aca="false">IF(M236&lt;&gt;"",M236,IF(OR(C236="",D236=""),"",IFERROR(IF(INDEX(Listas!$E$5:$E$60,MATCH(D236,Listas!$B$5:$B$60,0))="","",C236+INDEX(Listas!$E$5:$E$60,MATCH(D236,Listas!$B$5:$B$60,0))),"")))</f>
        <v/>
      </c>
      <c r="O236" s="87"/>
      <c r="P236" s="90"/>
      <c r="Q236" s="96"/>
      <c r="R236" s="89"/>
      <c r="S236" s="94" t="str">
        <f aca="false">IF(OR(C236="",O236="",K236="✖️ Anulado"),"",O236-C236)</f>
        <v/>
      </c>
      <c r="T236" s="87"/>
      <c r="U236" s="92" t="str">
        <f aca="false">IF(OR(O236="",K236="✖️ Anulado",AND(T236&lt;&gt;"",T236&lt;&gt;"No")),"",N(H236)*IF(P236="",N(G236),N(P236)))</f>
        <v/>
      </c>
      <c r="V236" s="96"/>
      <c r="W236" s="89"/>
    </row>
    <row r="237" customFormat="false" ht="21" hidden="false" customHeight="true" outlineLevel="0" collapsed="false">
      <c r="A237" s="74" t="n">
        <v>233</v>
      </c>
      <c r="B237" s="86"/>
      <c r="C237" s="87"/>
      <c r="D237" s="88"/>
      <c r="E237" s="89"/>
      <c r="F237" s="89"/>
      <c r="G237" s="90"/>
      <c r="H237" s="91"/>
      <c r="I237" s="92" t="str">
        <f aca="false">IF(OR(G237="",H237=""),"",G237*H237)</f>
        <v/>
      </c>
      <c r="J237" s="89"/>
      <c r="K237" s="93" t="str">
        <f aca="true">IF(AND(F237="",D237=""),"",IF(V237="Sí","✖️ Anulado",IF(O237&lt;&gt;"",IF(OR(Q237="Con incidencia",R237&lt;&gt;""),"⚠️ Llegó con incidencia",IF(AND(P237&lt;&gt;"",N(P237)&lt;N(G237)),"🧩 Llegó incompleto","✅ Recibido")),IF(C237="","🛒 Por pedir",IF(AND(N237&lt;&gt;"",TODAY()&gt;N(N237)),"🐢 Retrasado","📦 Pedido (esperando)")))))</f>
        <v/>
      </c>
      <c r="L237" s="94" t="str">
        <f aca="true">IF(OR(N237="",C237="",K237="",K237="✖️ Anulado"),"",IF(O237&lt;&gt;"",MAX(0,O237-N237),IF(TODAY()&gt;N237,TODAY()-N237,"")))</f>
        <v/>
      </c>
      <c r="M237" s="87"/>
      <c r="N237" s="95" t="str">
        <f aca="false">IF(M237&lt;&gt;"",M237,IF(OR(C237="",D237=""),"",IFERROR(IF(INDEX(Listas!$E$5:$E$60,MATCH(D237,Listas!$B$5:$B$60,0))="","",C237+INDEX(Listas!$E$5:$E$60,MATCH(D237,Listas!$B$5:$B$60,0))),"")))</f>
        <v/>
      </c>
      <c r="O237" s="87"/>
      <c r="P237" s="90"/>
      <c r="Q237" s="96"/>
      <c r="R237" s="89"/>
      <c r="S237" s="94" t="str">
        <f aca="false">IF(OR(C237="",O237="",K237="✖️ Anulado"),"",O237-C237)</f>
        <v/>
      </c>
      <c r="T237" s="87"/>
      <c r="U237" s="92" t="str">
        <f aca="false">IF(OR(O237="",K237="✖️ Anulado",AND(T237&lt;&gt;"",T237&lt;&gt;"No")),"",N(H237)*IF(P237="",N(G237),N(P237)))</f>
        <v/>
      </c>
      <c r="V237" s="96"/>
      <c r="W237" s="89"/>
    </row>
    <row r="238" customFormat="false" ht="21" hidden="false" customHeight="true" outlineLevel="0" collapsed="false">
      <c r="A238" s="74" t="n">
        <v>234</v>
      </c>
      <c r="B238" s="86"/>
      <c r="C238" s="87"/>
      <c r="D238" s="88"/>
      <c r="E238" s="89"/>
      <c r="F238" s="89"/>
      <c r="G238" s="90"/>
      <c r="H238" s="91"/>
      <c r="I238" s="92" t="str">
        <f aca="false">IF(OR(G238="",H238=""),"",G238*H238)</f>
        <v/>
      </c>
      <c r="J238" s="89"/>
      <c r="K238" s="93" t="str">
        <f aca="true">IF(AND(F238="",D238=""),"",IF(V238="Sí","✖️ Anulado",IF(O238&lt;&gt;"",IF(OR(Q238="Con incidencia",R238&lt;&gt;""),"⚠️ Llegó con incidencia",IF(AND(P238&lt;&gt;"",N(P238)&lt;N(G238)),"🧩 Llegó incompleto","✅ Recibido")),IF(C238="","🛒 Por pedir",IF(AND(N238&lt;&gt;"",TODAY()&gt;N(N238)),"🐢 Retrasado","📦 Pedido (esperando)")))))</f>
        <v/>
      </c>
      <c r="L238" s="94" t="str">
        <f aca="true">IF(OR(N238="",C238="",K238="",K238="✖️ Anulado"),"",IF(O238&lt;&gt;"",MAX(0,O238-N238),IF(TODAY()&gt;N238,TODAY()-N238,"")))</f>
        <v/>
      </c>
      <c r="M238" s="87"/>
      <c r="N238" s="95" t="str">
        <f aca="false">IF(M238&lt;&gt;"",M238,IF(OR(C238="",D238=""),"",IFERROR(IF(INDEX(Listas!$E$5:$E$60,MATCH(D238,Listas!$B$5:$B$60,0))="","",C238+INDEX(Listas!$E$5:$E$60,MATCH(D238,Listas!$B$5:$B$60,0))),"")))</f>
        <v/>
      </c>
      <c r="O238" s="87"/>
      <c r="P238" s="90"/>
      <c r="Q238" s="96"/>
      <c r="R238" s="89"/>
      <c r="S238" s="94" t="str">
        <f aca="false">IF(OR(C238="",O238="",K238="✖️ Anulado"),"",O238-C238)</f>
        <v/>
      </c>
      <c r="T238" s="87"/>
      <c r="U238" s="92" t="str">
        <f aca="false">IF(OR(O238="",K238="✖️ Anulado",AND(T238&lt;&gt;"",T238&lt;&gt;"No")),"",N(H238)*IF(P238="",N(G238),N(P238)))</f>
        <v/>
      </c>
      <c r="V238" s="96"/>
      <c r="W238" s="89"/>
    </row>
    <row r="239" customFormat="false" ht="21" hidden="false" customHeight="true" outlineLevel="0" collapsed="false">
      <c r="A239" s="74" t="n">
        <v>235</v>
      </c>
      <c r="B239" s="86"/>
      <c r="C239" s="87"/>
      <c r="D239" s="88"/>
      <c r="E239" s="89"/>
      <c r="F239" s="89"/>
      <c r="G239" s="90"/>
      <c r="H239" s="91"/>
      <c r="I239" s="92" t="str">
        <f aca="false">IF(OR(G239="",H239=""),"",G239*H239)</f>
        <v/>
      </c>
      <c r="J239" s="89"/>
      <c r="K239" s="93" t="str">
        <f aca="true">IF(AND(F239="",D239=""),"",IF(V239="Sí","✖️ Anulado",IF(O239&lt;&gt;"",IF(OR(Q239="Con incidencia",R239&lt;&gt;""),"⚠️ Llegó con incidencia",IF(AND(P239&lt;&gt;"",N(P239)&lt;N(G239)),"🧩 Llegó incompleto","✅ Recibido")),IF(C239="","🛒 Por pedir",IF(AND(N239&lt;&gt;"",TODAY()&gt;N(N239)),"🐢 Retrasado","📦 Pedido (esperando)")))))</f>
        <v/>
      </c>
      <c r="L239" s="94" t="str">
        <f aca="true">IF(OR(N239="",C239="",K239="",K239="✖️ Anulado"),"",IF(O239&lt;&gt;"",MAX(0,O239-N239),IF(TODAY()&gt;N239,TODAY()-N239,"")))</f>
        <v/>
      </c>
      <c r="M239" s="87"/>
      <c r="N239" s="95" t="str">
        <f aca="false">IF(M239&lt;&gt;"",M239,IF(OR(C239="",D239=""),"",IFERROR(IF(INDEX(Listas!$E$5:$E$60,MATCH(D239,Listas!$B$5:$B$60,0))="","",C239+INDEX(Listas!$E$5:$E$60,MATCH(D239,Listas!$B$5:$B$60,0))),"")))</f>
        <v/>
      </c>
      <c r="O239" s="87"/>
      <c r="P239" s="90"/>
      <c r="Q239" s="96"/>
      <c r="R239" s="89"/>
      <c r="S239" s="94" t="str">
        <f aca="false">IF(OR(C239="",O239="",K239="✖️ Anulado"),"",O239-C239)</f>
        <v/>
      </c>
      <c r="T239" s="87"/>
      <c r="U239" s="92" t="str">
        <f aca="false">IF(OR(O239="",K239="✖️ Anulado",AND(T239&lt;&gt;"",T239&lt;&gt;"No")),"",N(H239)*IF(P239="",N(G239),N(P239)))</f>
        <v/>
      </c>
      <c r="V239" s="96"/>
      <c r="W239" s="89"/>
    </row>
    <row r="240" customFormat="false" ht="21" hidden="false" customHeight="true" outlineLevel="0" collapsed="false">
      <c r="A240" s="74" t="n">
        <v>236</v>
      </c>
      <c r="B240" s="86"/>
      <c r="C240" s="87"/>
      <c r="D240" s="88"/>
      <c r="E240" s="89"/>
      <c r="F240" s="89"/>
      <c r="G240" s="90"/>
      <c r="H240" s="91"/>
      <c r="I240" s="92" t="str">
        <f aca="false">IF(OR(G240="",H240=""),"",G240*H240)</f>
        <v/>
      </c>
      <c r="J240" s="89"/>
      <c r="K240" s="93" t="str">
        <f aca="true">IF(AND(F240="",D240=""),"",IF(V240="Sí","✖️ Anulado",IF(O240&lt;&gt;"",IF(OR(Q240="Con incidencia",R240&lt;&gt;""),"⚠️ Llegó con incidencia",IF(AND(P240&lt;&gt;"",N(P240)&lt;N(G240)),"🧩 Llegó incompleto","✅ Recibido")),IF(C240="","🛒 Por pedir",IF(AND(N240&lt;&gt;"",TODAY()&gt;N(N240)),"🐢 Retrasado","📦 Pedido (esperando)")))))</f>
        <v/>
      </c>
      <c r="L240" s="94" t="str">
        <f aca="true">IF(OR(N240="",C240="",K240="",K240="✖️ Anulado"),"",IF(O240&lt;&gt;"",MAX(0,O240-N240),IF(TODAY()&gt;N240,TODAY()-N240,"")))</f>
        <v/>
      </c>
      <c r="M240" s="87"/>
      <c r="N240" s="95" t="str">
        <f aca="false">IF(M240&lt;&gt;"",M240,IF(OR(C240="",D240=""),"",IFERROR(IF(INDEX(Listas!$E$5:$E$60,MATCH(D240,Listas!$B$5:$B$60,0))="","",C240+INDEX(Listas!$E$5:$E$60,MATCH(D240,Listas!$B$5:$B$60,0))),"")))</f>
        <v/>
      </c>
      <c r="O240" s="87"/>
      <c r="P240" s="90"/>
      <c r="Q240" s="96"/>
      <c r="R240" s="89"/>
      <c r="S240" s="94" t="str">
        <f aca="false">IF(OR(C240="",O240="",K240="✖️ Anulado"),"",O240-C240)</f>
        <v/>
      </c>
      <c r="T240" s="87"/>
      <c r="U240" s="92" t="str">
        <f aca="false">IF(OR(O240="",K240="✖️ Anulado",AND(T240&lt;&gt;"",T240&lt;&gt;"No")),"",N(H240)*IF(P240="",N(G240),N(P240)))</f>
        <v/>
      </c>
      <c r="V240" s="96"/>
      <c r="W240" s="89"/>
    </row>
    <row r="241" customFormat="false" ht="21" hidden="false" customHeight="true" outlineLevel="0" collapsed="false">
      <c r="A241" s="74" t="n">
        <v>237</v>
      </c>
      <c r="B241" s="86"/>
      <c r="C241" s="87"/>
      <c r="D241" s="88"/>
      <c r="E241" s="89"/>
      <c r="F241" s="89"/>
      <c r="G241" s="90"/>
      <c r="H241" s="91"/>
      <c r="I241" s="92" t="str">
        <f aca="false">IF(OR(G241="",H241=""),"",G241*H241)</f>
        <v/>
      </c>
      <c r="J241" s="89"/>
      <c r="K241" s="93" t="str">
        <f aca="true">IF(AND(F241="",D241=""),"",IF(V241="Sí","✖️ Anulado",IF(O241&lt;&gt;"",IF(OR(Q241="Con incidencia",R241&lt;&gt;""),"⚠️ Llegó con incidencia",IF(AND(P241&lt;&gt;"",N(P241)&lt;N(G241)),"🧩 Llegó incompleto","✅ Recibido")),IF(C241="","🛒 Por pedir",IF(AND(N241&lt;&gt;"",TODAY()&gt;N(N241)),"🐢 Retrasado","📦 Pedido (esperando)")))))</f>
        <v/>
      </c>
      <c r="L241" s="94" t="str">
        <f aca="true">IF(OR(N241="",C241="",K241="",K241="✖️ Anulado"),"",IF(O241&lt;&gt;"",MAX(0,O241-N241),IF(TODAY()&gt;N241,TODAY()-N241,"")))</f>
        <v/>
      </c>
      <c r="M241" s="87"/>
      <c r="N241" s="95" t="str">
        <f aca="false">IF(M241&lt;&gt;"",M241,IF(OR(C241="",D241=""),"",IFERROR(IF(INDEX(Listas!$E$5:$E$60,MATCH(D241,Listas!$B$5:$B$60,0))="","",C241+INDEX(Listas!$E$5:$E$60,MATCH(D241,Listas!$B$5:$B$60,0))),"")))</f>
        <v/>
      </c>
      <c r="O241" s="87"/>
      <c r="P241" s="90"/>
      <c r="Q241" s="96"/>
      <c r="R241" s="89"/>
      <c r="S241" s="94" t="str">
        <f aca="false">IF(OR(C241="",O241="",K241="✖️ Anulado"),"",O241-C241)</f>
        <v/>
      </c>
      <c r="T241" s="87"/>
      <c r="U241" s="92" t="str">
        <f aca="false">IF(OR(O241="",K241="✖️ Anulado",AND(T241&lt;&gt;"",T241&lt;&gt;"No")),"",N(H241)*IF(P241="",N(G241),N(P241)))</f>
        <v/>
      </c>
      <c r="V241" s="96"/>
      <c r="W241" s="89"/>
    </row>
    <row r="242" customFormat="false" ht="21" hidden="false" customHeight="true" outlineLevel="0" collapsed="false">
      <c r="A242" s="74" t="n">
        <v>238</v>
      </c>
      <c r="B242" s="86"/>
      <c r="C242" s="87"/>
      <c r="D242" s="88"/>
      <c r="E242" s="89"/>
      <c r="F242" s="89"/>
      <c r="G242" s="90"/>
      <c r="H242" s="91"/>
      <c r="I242" s="92" t="str">
        <f aca="false">IF(OR(G242="",H242=""),"",G242*H242)</f>
        <v/>
      </c>
      <c r="J242" s="89"/>
      <c r="K242" s="93" t="str">
        <f aca="true">IF(AND(F242="",D242=""),"",IF(V242="Sí","✖️ Anulado",IF(O242&lt;&gt;"",IF(OR(Q242="Con incidencia",R242&lt;&gt;""),"⚠️ Llegó con incidencia",IF(AND(P242&lt;&gt;"",N(P242)&lt;N(G242)),"🧩 Llegó incompleto","✅ Recibido")),IF(C242="","🛒 Por pedir",IF(AND(N242&lt;&gt;"",TODAY()&gt;N(N242)),"🐢 Retrasado","📦 Pedido (esperando)")))))</f>
        <v/>
      </c>
      <c r="L242" s="94" t="str">
        <f aca="true">IF(OR(N242="",C242="",K242="",K242="✖️ Anulado"),"",IF(O242&lt;&gt;"",MAX(0,O242-N242),IF(TODAY()&gt;N242,TODAY()-N242,"")))</f>
        <v/>
      </c>
      <c r="M242" s="87"/>
      <c r="N242" s="95" t="str">
        <f aca="false">IF(M242&lt;&gt;"",M242,IF(OR(C242="",D242=""),"",IFERROR(IF(INDEX(Listas!$E$5:$E$60,MATCH(D242,Listas!$B$5:$B$60,0))="","",C242+INDEX(Listas!$E$5:$E$60,MATCH(D242,Listas!$B$5:$B$60,0))),"")))</f>
        <v/>
      </c>
      <c r="O242" s="87"/>
      <c r="P242" s="90"/>
      <c r="Q242" s="96"/>
      <c r="R242" s="89"/>
      <c r="S242" s="94" t="str">
        <f aca="false">IF(OR(C242="",O242="",K242="✖️ Anulado"),"",O242-C242)</f>
        <v/>
      </c>
      <c r="T242" s="87"/>
      <c r="U242" s="92" t="str">
        <f aca="false">IF(OR(O242="",K242="✖️ Anulado",AND(T242&lt;&gt;"",T242&lt;&gt;"No")),"",N(H242)*IF(P242="",N(G242),N(P242)))</f>
        <v/>
      </c>
      <c r="V242" s="96"/>
      <c r="W242" s="89"/>
    </row>
    <row r="243" customFormat="false" ht="21" hidden="false" customHeight="true" outlineLevel="0" collapsed="false">
      <c r="A243" s="74" t="n">
        <v>239</v>
      </c>
      <c r="B243" s="86"/>
      <c r="C243" s="87"/>
      <c r="D243" s="88"/>
      <c r="E243" s="89"/>
      <c r="F243" s="89"/>
      <c r="G243" s="90"/>
      <c r="H243" s="91"/>
      <c r="I243" s="92" t="str">
        <f aca="false">IF(OR(G243="",H243=""),"",G243*H243)</f>
        <v/>
      </c>
      <c r="J243" s="89"/>
      <c r="K243" s="93" t="str">
        <f aca="true">IF(AND(F243="",D243=""),"",IF(V243="Sí","✖️ Anulado",IF(O243&lt;&gt;"",IF(OR(Q243="Con incidencia",R243&lt;&gt;""),"⚠️ Llegó con incidencia",IF(AND(P243&lt;&gt;"",N(P243)&lt;N(G243)),"🧩 Llegó incompleto","✅ Recibido")),IF(C243="","🛒 Por pedir",IF(AND(N243&lt;&gt;"",TODAY()&gt;N(N243)),"🐢 Retrasado","📦 Pedido (esperando)")))))</f>
        <v/>
      </c>
      <c r="L243" s="94" t="str">
        <f aca="true">IF(OR(N243="",C243="",K243="",K243="✖️ Anulado"),"",IF(O243&lt;&gt;"",MAX(0,O243-N243),IF(TODAY()&gt;N243,TODAY()-N243,"")))</f>
        <v/>
      </c>
      <c r="M243" s="87"/>
      <c r="N243" s="95" t="str">
        <f aca="false">IF(M243&lt;&gt;"",M243,IF(OR(C243="",D243=""),"",IFERROR(IF(INDEX(Listas!$E$5:$E$60,MATCH(D243,Listas!$B$5:$B$60,0))="","",C243+INDEX(Listas!$E$5:$E$60,MATCH(D243,Listas!$B$5:$B$60,0))),"")))</f>
        <v/>
      </c>
      <c r="O243" s="87"/>
      <c r="P243" s="90"/>
      <c r="Q243" s="96"/>
      <c r="R243" s="89"/>
      <c r="S243" s="94" t="str">
        <f aca="false">IF(OR(C243="",O243="",K243="✖️ Anulado"),"",O243-C243)</f>
        <v/>
      </c>
      <c r="T243" s="87"/>
      <c r="U243" s="92" t="str">
        <f aca="false">IF(OR(O243="",K243="✖️ Anulado",AND(T243&lt;&gt;"",T243&lt;&gt;"No")),"",N(H243)*IF(P243="",N(G243),N(P243)))</f>
        <v/>
      </c>
      <c r="V243" s="96"/>
      <c r="W243" s="89"/>
    </row>
    <row r="244" customFormat="false" ht="21" hidden="false" customHeight="true" outlineLevel="0" collapsed="false">
      <c r="A244" s="74" t="n">
        <v>240</v>
      </c>
      <c r="B244" s="86"/>
      <c r="C244" s="87"/>
      <c r="D244" s="88"/>
      <c r="E244" s="89"/>
      <c r="F244" s="89"/>
      <c r="G244" s="90"/>
      <c r="H244" s="91"/>
      <c r="I244" s="92" t="str">
        <f aca="false">IF(OR(G244="",H244=""),"",G244*H244)</f>
        <v/>
      </c>
      <c r="J244" s="89"/>
      <c r="K244" s="93" t="str">
        <f aca="true">IF(AND(F244="",D244=""),"",IF(V244="Sí","✖️ Anulado",IF(O244&lt;&gt;"",IF(OR(Q244="Con incidencia",R244&lt;&gt;""),"⚠️ Llegó con incidencia",IF(AND(P244&lt;&gt;"",N(P244)&lt;N(G244)),"🧩 Llegó incompleto","✅ Recibido")),IF(C244="","🛒 Por pedir",IF(AND(N244&lt;&gt;"",TODAY()&gt;N(N244)),"🐢 Retrasado","📦 Pedido (esperando)")))))</f>
        <v/>
      </c>
      <c r="L244" s="94" t="str">
        <f aca="true">IF(OR(N244="",C244="",K244="",K244="✖️ Anulado"),"",IF(O244&lt;&gt;"",MAX(0,O244-N244),IF(TODAY()&gt;N244,TODAY()-N244,"")))</f>
        <v/>
      </c>
      <c r="M244" s="87"/>
      <c r="N244" s="95" t="str">
        <f aca="false">IF(M244&lt;&gt;"",M244,IF(OR(C244="",D244=""),"",IFERROR(IF(INDEX(Listas!$E$5:$E$60,MATCH(D244,Listas!$B$5:$B$60,0))="","",C244+INDEX(Listas!$E$5:$E$60,MATCH(D244,Listas!$B$5:$B$60,0))),"")))</f>
        <v/>
      </c>
      <c r="O244" s="87"/>
      <c r="P244" s="90"/>
      <c r="Q244" s="96"/>
      <c r="R244" s="89"/>
      <c r="S244" s="94" t="str">
        <f aca="false">IF(OR(C244="",O244="",K244="✖️ Anulado"),"",O244-C244)</f>
        <v/>
      </c>
      <c r="T244" s="87"/>
      <c r="U244" s="92" t="str">
        <f aca="false">IF(OR(O244="",K244="✖️ Anulado",AND(T244&lt;&gt;"",T244&lt;&gt;"No")),"",N(H244)*IF(P244="",N(G244),N(P244)))</f>
        <v/>
      </c>
      <c r="V244" s="96"/>
      <c r="W244" s="89"/>
    </row>
    <row r="245" customFormat="false" ht="21" hidden="false" customHeight="true" outlineLevel="0" collapsed="false">
      <c r="A245" s="74" t="n">
        <v>241</v>
      </c>
      <c r="B245" s="86"/>
      <c r="C245" s="87"/>
      <c r="D245" s="88"/>
      <c r="E245" s="89"/>
      <c r="F245" s="89"/>
      <c r="G245" s="90"/>
      <c r="H245" s="91"/>
      <c r="I245" s="92" t="str">
        <f aca="false">IF(OR(G245="",H245=""),"",G245*H245)</f>
        <v/>
      </c>
      <c r="J245" s="89"/>
      <c r="K245" s="93" t="str">
        <f aca="true">IF(AND(F245="",D245=""),"",IF(V245="Sí","✖️ Anulado",IF(O245&lt;&gt;"",IF(OR(Q245="Con incidencia",R245&lt;&gt;""),"⚠️ Llegó con incidencia",IF(AND(P245&lt;&gt;"",N(P245)&lt;N(G245)),"🧩 Llegó incompleto","✅ Recibido")),IF(C245="","🛒 Por pedir",IF(AND(N245&lt;&gt;"",TODAY()&gt;N(N245)),"🐢 Retrasado","📦 Pedido (esperando)")))))</f>
        <v/>
      </c>
      <c r="L245" s="94" t="str">
        <f aca="true">IF(OR(N245="",C245="",K245="",K245="✖️ Anulado"),"",IF(O245&lt;&gt;"",MAX(0,O245-N245),IF(TODAY()&gt;N245,TODAY()-N245,"")))</f>
        <v/>
      </c>
      <c r="M245" s="87"/>
      <c r="N245" s="95" t="str">
        <f aca="false">IF(M245&lt;&gt;"",M245,IF(OR(C245="",D245=""),"",IFERROR(IF(INDEX(Listas!$E$5:$E$60,MATCH(D245,Listas!$B$5:$B$60,0))="","",C245+INDEX(Listas!$E$5:$E$60,MATCH(D245,Listas!$B$5:$B$60,0))),"")))</f>
        <v/>
      </c>
      <c r="O245" s="87"/>
      <c r="P245" s="90"/>
      <c r="Q245" s="96"/>
      <c r="R245" s="89"/>
      <c r="S245" s="94" t="str">
        <f aca="false">IF(OR(C245="",O245="",K245="✖️ Anulado"),"",O245-C245)</f>
        <v/>
      </c>
      <c r="T245" s="87"/>
      <c r="U245" s="92" t="str">
        <f aca="false">IF(OR(O245="",K245="✖️ Anulado",AND(T245&lt;&gt;"",T245&lt;&gt;"No")),"",N(H245)*IF(P245="",N(G245),N(P245)))</f>
        <v/>
      </c>
      <c r="V245" s="96"/>
      <c r="W245" s="89"/>
    </row>
    <row r="246" customFormat="false" ht="21" hidden="false" customHeight="true" outlineLevel="0" collapsed="false">
      <c r="A246" s="74" t="n">
        <v>242</v>
      </c>
      <c r="B246" s="86"/>
      <c r="C246" s="87"/>
      <c r="D246" s="88"/>
      <c r="E246" s="89"/>
      <c r="F246" s="89"/>
      <c r="G246" s="90"/>
      <c r="H246" s="91"/>
      <c r="I246" s="92" t="str">
        <f aca="false">IF(OR(G246="",H246=""),"",G246*H246)</f>
        <v/>
      </c>
      <c r="J246" s="89"/>
      <c r="K246" s="93" t="str">
        <f aca="true">IF(AND(F246="",D246=""),"",IF(V246="Sí","✖️ Anulado",IF(O246&lt;&gt;"",IF(OR(Q246="Con incidencia",R246&lt;&gt;""),"⚠️ Llegó con incidencia",IF(AND(P246&lt;&gt;"",N(P246)&lt;N(G246)),"🧩 Llegó incompleto","✅ Recibido")),IF(C246="","🛒 Por pedir",IF(AND(N246&lt;&gt;"",TODAY()&gt;N(N246)),"🐢 Retrasado","📦 Pedido (esperando)")))))</f>
        <v/>
      </c>
      <c r="L246" s="94" t="str">
        <f aca="true">IF(OR(N246="",C246="",K246="",K246="✖️ Anulado"),"",IF(O246&lt;&gt;"",MAX(0,O246-N246),IF(TODAY()&gt;N246,TODAY()-N246,"")))</f>
        <v/>
      </c>
      <c r="M246" s="87"/>
      <c r="N246" s="95" t="str">
        <f aca="false">IF(M246&lt;&gt;"",M246,IF(OR(C246="",D246=""),"",IFERROR(IF(INDEX(Listas!$E$5:$E$60,MATCH(D246,Listas!$B$5:$B$60,0))="","",C246+INDEX(Listas!$E$5:$E$60,MATCH(D246,Listas!$B$5:$B$60,0))),"")))</f>
        <v/>
      </c>
      <c r="O246" s="87"/>
      <c r="P246" s="90"/>
      <c r="Q246" s="96"/>
      <c r="R246" s="89"/>
      <c r="S246" s="94" t="str">
        <f aca="false">IF(OR(C246="",O246="",K246="✖️ Anulado"),"",O246-C246)</f>
        <v/>
      </c>
      <c r="T246" s="87"/>
      <c r="U246" s="92" t="str">
        <f aca="false">IF(OR(O246="",K246="✖️ Anulado",AND(T246&lt;&gt;"",T246&lt;&gt;"No")),"",N(H246)*IF(P246="",N(G246),N(P246)))</f>
        <v/>
      </c>
      <c r="V246" s="96"/>
      <c r="W246" s="89"/>
    </row>
    <row r="247" customFormat="false" ht="21" hidden="false" customHeight="true" outlineLevel="0" collapsed="false">
      <c r="A247" s="74" t="n">
        <v>243</v>
      </c>
      <c r="B247" s="86"/>
      <c r="C247" s="87"/>
      <c r="D247" s="88"/>
      <c r="E247" s="89"/>
      <c r="F247" s="89"/>
      <c r="G247" s="90"/>
      <c r="H247" s="91"/>
      <c r="I247" s="92" t="str">
        <f aca="false">IF(OR(G247="",H247=""),"",G247*H247)</f>
        <v/>
      </c>
      <c r="J247" s="89"/>
      <c r="K247" s="93" t="str">
        <f aca="true">IF(AND(F247="",D247=""),"",IF(V247="Sí","✖️ Anulado",IF(O247&lt;&gt;"",IF(OR(Q247="Con incidencia",R247&lt;&gt;""),"⚠️ Llegó con incidencia",IF(AND(P247&lt;&gt;"",N(P247)&lt;N(G247)),"🧩 Llegó incompleto","✅ Recibido")),IF(C247="","🛒 Por pedir",IF(AND(N247&lt;&gt;"",TODAY()&gt;N(N247)),"🐢 Retrasado","📦 Pedido (esperando)")))))</f>
        <v/>
      </c>
      <c r="L247" s="94" t="str">
        <f aca="true">IF(OR(N247="",C247="",K247="",K247="✖️ Anulado"),"",IF(O247&lt;&gt;"",MAX(0,O247-N247),IF(TODAY()&gt;N247,TODAY()-N247,"")))</f>
        <v/>
      </c>
      <c r="M247" s="87"/>
      <c r="N247" s="95" t="str">
        <f aca="false">IF(M247&lt;&gt;"",M247,IF(OR(C247="",D247=""),"",IFERROR(IF(INDEX(Listas!$E$5:$E$60,MATCH(D247,Listas!$B$5:$B$60,0))="","",C247+INDEX(Listas!$E$5:$E$60,MATCH(D247,Listas!$B$5:$B$60,0))),"")))</f>
        <v/>
      </c>
      <c r="O247" s="87"/>
      <c r="P247" s="90"/>
      <c r="Q247" s="96"/>
      <c r="R247" s="89"/>
      <c r="S247" s="94" t="str">
        <f aca="false">IF(OR(C247="",O247="",K247="✖️ Anulado"),"",O247-C247)</f>
        <v/>
      </c>
      <c r="T247" s="87"/>
      <c r="U247" s="92" t="str">
        <f aca="false">IF(OR(O247="",K247="✖️ Anulado",AND(T247&lt;&gt;"",T247&lt;&gt;"No")),"",N(H247)*IF(P247="",N(G247),N(P247)))</f>
        <v/>
      </c>
      <c r="V247" s="96"/>
      <c r="W247" s="89"/>
    </row>
    <row r="248" customFormat="false" ht="21" hidden="false" customHeight="true" outlineLevel="0" collapsed="false">
      <c r="A248" s="74" t="n">
        <v>244</v>
      </c>
      <c r="B248" s="86"/>
      <c r="C248" s="87"/>
      <c r="D248" s="88"/>
      <c r="E248" s="89"/>
      <c r="F248" s="89"/>
      <c r="G248" s="90"/>
      <c r="H248" s="91"/>
      <c r="I248" s="92" t="str">
        <f aca="false">IF(OR(G248="",H248=""),"",G248*H248)</f>
        <v/>
      </c>
      <c r="J248" s="89"/>
      <c r="K248" s="93" t="str">
        <f aca="true">IF(AND(F248="",D248=""),"",IF(V248="Sí","✖️ Anulado",IF(O248&lt;&gt;"",IF(OR(Q248="Con incidencia",R248&lt;&gt;""),"⚠️ Llegó con incidencia",IF(AND(P248&lt;&gt;"",N(P248)&lt;N(G248)),"🧩 Llegó incompleto","✅ Recibido")),IF(C248="","🛒 Por pedir",IF(AND(N248&lt;&gt;"",TODAY()&gt;N(N248)),"🐢 Retrasado","📦 Pedido (esperando)")))))</f>
        <v/>
      </c>
      <c r="L248" s="94" t="str">
        <f aca="true">IF(OR(N248="",C248="",K248="",K248="✖️ Anulado"),"",IF(O248&lt;&gt;"",MAX(0,O248-N248),IF(TODAY()&gt;N248,TODAY()-N248,"")))</f>
        <v/>
      </c>
      <c r="M248" s="87"/>
      <c r="N248" s="95" t="str">
        <f aca="false">IF(M248&lt;&gt;"",M248,IF(OR(C248="",D248=""),"",IFERROR(IF(INDEX(Listas!$E$5:$E$60,MATCH(D248,Listas!$B$5:$B$60,0))="","",C248+INDEX(Listas!$E$5:$E$60,MATCH(D248,Listas!$B$5:$B$60,0))),"")))</f>
        <v/>
      </c>
      <c r="O248" s="87"/>
      <c r="P248" s="90"/>
      <c r="Q248" s="96"/>
      <c r="R248" s="89"/>
      <c r="S248" s="94" t="str">
        <f aca="false">IF(OR(C248="",O248="",K248="✖️ Anulado"),"",O248-C248)</f>
        <v/>
      </c>
      <c r="T248" s="87"/>
      <c r="U248" s="92" t="str">
        <f aca="false">IF(OR(O248="",K248="✖️ Anulado",AND(T248&lt;&gt;"",T248&lt;&gt;"No")),"",N(H248)*IF(P248="",N(G248),N(P248)))</f>
        <v/>
      </c>
      <c r="V248" s="96"/>
      <c r="W248" s="89"/>
    </row>
    <row r="249" customFormat="false" ht="21" hidden="false" customHeight="true" outlineLevel="0" collapsed="false">
      <c r="A249" s="74" t="n">
        <v>245</v>
      </c>
      <c r="B249" s="86"/>
      <c r="C249" s="87"/>
      <c r="D249" s="88"/>
      <c r="E249" s="89"/>
      <c r="F249" s="89"/>
      <c r="G249" s="90"/>
      <c r="H249" s="91"/>
      <c r="I249" s="92" t="str">
        <f aca="false">IF(OR(G249="",H249=""),"",G249*H249)</f>
        <v/>
      </c>
      <c r="J249" s="89"/>
      <c r="K249" s="93" t="str">
        <f aca="true">IF(AND(F249="",D249=""),"",IF(V249="Sí","✖️ Anulado",IF(O249&lt;&gt;"",IF(OR(Q249="Con incidencia",R249&lt;&gt;""),"⚠️ Llegó con incidencia",IF(AND(P249&lt;&gt;"",N(P249)&lt;N(G249)),"🧩 Llegó incompleto","✅ Recibido")),IF(C249="","🛒 Por pedir",IF(AND(N249&lt;&gt;"",TODAY()&gt;N(N249)),"🐢 Retrasado","📦 Pedido (esperando)")))))</f>
        <v/>
      </c>
      <c r="L249" s="94" t="str">
        <f aca="true">IF(OR(N249="",C249="",K249="",K249="✖️ Anulado"),"",IF(O249&lt;&gt;"",MAX(0,O249-N249),IF(TODAY()&gt;N249,TODAY()-N249,"")))</f>
        <v/>
      </c>
      <c r="M249" s="87"/>
      <c r="N249" s="95" t="str">
        <f aca="false">IF(M249&lt;&gt;"",M249,IF(OR(C249="",D249=""),"",IFERROR(IF(INDEX(Listas!$E$5:$E$60,MATCH(D249,Listas!$B$5:$B$60,0))="","",C249+INDEX(Listas!$E$5:$E$60,MATCH(D249,Listas!$B$5:$B$60,0))),"")))</f>
        <v/>
      </c>
      <c r="O249" s="87"/>
      <c r="P249" s="90"/>
      <c r="Q249" s="96"/>
      <c r="R249" s="89"/>
      <c r="S249" s="94" t="str">
        <f aca="false">IF(OR(C249="",O249="",K249="✖️ Anulado"),"",O249-C249)</f>
        <v/>
      </c>
      <c r="T249" s="87"/>
      <c r="U249" s="92" t="str">
        <f aca="false">IF(OR(O249="",K249="✖️ Anulado",AND(T249&lt;&gt;"",T249&lt;&gt;"No")),"",N(H249)*IF(P249="",N(G249),N(P249)))</f>
        <v/>
      </c>
      <c r="V249" s="96"/>
      <c r="W249" s="89"/>
    </row>
    <row r="250" customFormat="false" ht="21" hidden="false" customHeight="true" outlineLevel="0" collapsed="false">
      <c r="A250" s="74" t="n">
        <v>246</v>
      </c>
      <c r="B250" s="86"/>
      <c r="C250" s="87"/>
      <c r="D250" s="88"/>
      <c r="E250" s="89"/>
      <c r="F250" s="89"/>
      <c r="G250" s="90"/>
      <c r="H250" s="91"/>
      <c r="I250" s="92" t="str">
        <f aca="false">IF(OR(G250="",H250=""),"",G250*H250)</f>
        <v/>
      </c>
      <c r="J250" s="89"/>
      <c r="K250" s="93" t="str">
        <f aca="true">IF(AND(F250="",D250=""),"",IF(V250="Sí","✖️ Anulado",IF(O250&lt;&gt;"",IF(OR(Q250="Con incidencia",R250&lt;&gt;""),"⚠️ Llegó con incidencia",IF(AND(P250&lt;&gt;"",N(P250)&lt;N(G250)),"🧩 Llegó incompleto","✅ Recibido")),IF(C250="","🛒 Por pedir",IF(AND(N250&lt;&gt;"",TODAY()&gt;N(N250)),"🐢 Retrasado","📦 Pedido (esperando)")))))</f>
        <v/>
      </c>
      <c r="L250" s="94" t="str">
        <f aca="true">IF(OR(N250="",C250="",K250="",K250="✖️ Anulado"),"",IF(O250&lt;&gt;"",MAX(0,O250-N250),IF(TODAY()&gt;N250,TODAY()-N250,"")))</f>
        <v/>
      </c>
      <c r="M250" s="87"/>
      <c r="N250" s="95" t="str">
        <f aca="false">IF(M250&lt;&gt;"",M250,IF(OR(C250="",D250=""),"",IFERROR(IF(INDEX(Listas!$E$5:$E$60,MATCH(D250,Listas!$B$5:$B$60,0))="","",C250+INDEX(Listas!$E$5:$E$60,MATCH(D250,Listas!$B$5:$B$60,0))),"")))</f>
        <v/>
      </c>
      <c r="O250" s="87"/>
      <c r="P250" s="90"/>
      <c r="Q250" s="96"/>
      <c r="R250" s="89"/>
      <c r="S250" s="94" t="str">
        <f aca="false">IF(OR(C250="",O250="",K250="✖️ Anulado"),"",O250-C250)</f>
        <v/>
      </c>
      <c r="T250" s="87"/>
      <c r="U250" s="92" t="str">
        <f aca="false">IF(OR(O250="",K250="✖️ Anulado",AND(T250&lt;&gt;"",T250&lt;&gt;"No")),"",N(H250)*IF(P250="",N(G250),N(P250)))</f>
        <v/>
      </c>
      <c r="V250" s="96"/>
      <c r="W250" s="89"/>
    </row>
    <row r="251" customFormat="false" ht="21" hidden="false" customHeight="true" outlineLevel="0" collapsed="false">
      <c r="A251" s="74" t="n">
        <v>247</v>
      </c>
      <c r="B251" s="86"/>
      <c r="C251" s="87"/>
      <c r="D251" s="88"/>
      <c r="E251" s="89"/>
      <c r="F251" s="89"/>
      <c r="G251" s="90"/>
      <c r="H251" s="91"/>
      <c r="I251" s="92" t="str">
        <f aca="false">IF(OR(G251="",H251=""),"",G251*H251)</f>
        <v/>
      </c>
      <c r="J251" s="89"/>
      <c r="K251" s="93" t="str">
        <f aca="true">IF(AND(F251="",D251=""),"",IF(V251="Sí","✖️ Anulado",IF(O251&lt;&gt;"",IF(OR(Q251="Con incidencia",R251&lt;&gt;""),"⚠️ Llegó con incidencia",IF(AND(P251&lt;&gt;"",N(P251)&lt;N(G251)),"🧩 Llegó incompleto","✅ Recibido")),IF(C251="","🛒 Por pedir",IF(AND(N251&lt;&gt;"",TODAY()&gt;N(N251)),"🐢 Retrasado","📦 Pedido (esperando)")))))</f>
        <v/>
      </c>
      <c r="L251" s="94" t="str">
        <f aca="true">IF(OR(N251="",C251="",K251="",K251="✖️ Anulado"),"",IF(O251&lt;&gt;"",MAX(0,O251-N251),IF(TODAY()&gt;N251,TODAY()-N251,"")))</f>
        <v/>
      </c>
      <c r="M251" s="87"/>
      <c r="N251" s="95" t="str">
        <f aca="false">IF(M251&lt;&gt;"",M251,IF(OR(C251="",D251=""),"",IFERROR(IF(INDEX(Listas!$E$5:$E$60,MATCH(D251,Listas!$B$5:$B$60,0))="","",C251+INDEX(Listas!$E$5:$E$60,MATCH(D251,Listas!$B$5:$B$60,0))),"")))</f>
        <v/>
      </c>
      <c r="O251" s="87"/>
      <c r="P251" s="90"/>
      <c r="Q251" s="96"/>
      <c r="R251" s="89"/>
      <c r="S251" s="94" t="str">
        <f aca="false">IF(OR(C251="",O251="",K251="✖️ Anulado"),"",O251-C251)</f>
        <v/>
      </c>
      <c r="T251" s="87"/>
      <c r="U251" s="92" t="str">
        <f aca="false">IF(OR(O251="",K251="✖️ Anulado",AND(T251&lt;&gt;"",T251&lt;&gt;"No")),"",N(H251)*IF(P251="",N(G251),N(P251)))</f>
        <v/>
      </c>
      <c r="V251" s="96"/>
      <c r="W251" s="89"/>
    </row>
    <row r="252" customFormat="false" ht="21" hidden="false" customHeight="true" outlineLevel="0" collapsed="false">
      <c r="A252" s="74" t="n">
        <v>248</v>
      </c>
      <c r="B252" s="86"/>
      <c r="C252" s="87"/>
      <c r="D252" s="88"/>
      <c r="E252" s="89"/>
      <c r="F252" s="89"/>
      <c r="G252" s="90"/>
      <c r="H252" s="91"/>
      <c r="I252" s="92" t="str">
        <f aca="false">IF(OR(G252="",H252=""),"",G252*H252)</f>
        <v/>
      </c>
      <c r="J252" s="89"/>
      <c r="K252" s="93" t="str">
        <f aca="true">IF(AND(F252="",D252=""),"",IF(V252="Sí","✖️ Anulado",IF(O252&lt;&gt;"",IF(OR(Q252="Con incidencia",R252&lt;&gt;""),"⚠️ Llegó con incidencia",IF(AND(P252&lt;&gt;"",N(P252)&lt;N(G252)),"🧩 Llegó incompleto","✅ Recibido")),IF(C252="","🛒 Por pedir",IF(AND(N252&lt;&gt;"",TODAY()&gt;N(N252)),"🐢 Retrasado","📦 Pedido (esperando)")))))</f>
        <v/>
      </c>
      <c r="L252" s="94" t="str">
        <f aca="true">IF(OR(N252="",C252="",K252="",K252="✖️ Anulado"),"",IF(O252&lt;&gt;"",MAX(0,O252-N252),IF(TODAY()&gt;N252,TODAY()-N252,"")))</f>
        <v/>
      </c>
      <c r="M252" s="87"/>
      <c r="N252" s="95" t="str">
        <f aca="false">IF(M252&lt;&gt;"",M252,IF(OR(C252="",D252=""),"",IFERROR(IF(INDEX(Listas!$E$5:$E$60,MATCH(D252,Listas!$B$5:$B$60,0))="","",C252+INDEX(Listas!$E$5:$E$60,MATCH(D252,Listas!$B$5:$B$60,0))),"")))</f>
        <v/>
      </c>
      <c r="O252" s="87"/>
      <c r="P252" s="90"/>
      <c r="Q252" s="96"/>
      <c r="R252" s="89"/>
      <c r="S252" s="94" t="str">
        <f aca="false">IF(OR(C252="",O252="",K252="✖️ Anulado"),"",O252-C252)</f>
        <v/>
      </c>
      <c r="T252" s="87"/>
      <c r="U252" s="92" t="str">
        <f aca="false">IF(OR(O252="",K252="✖️ Anulado",AND(T252&lt;&gt;"",T252&lt;&gt;"No")),"",N(H252)*IF(P252="",N(G252),N(P252)))</f>
        <v/>
      </c>
      <c r="V252" s="96"/>
      <c r="W252" s="89"/>
    </row>
    <row r="253" customFormat="false" ht="21" hidden="false" customHeight="true" outlineLevel="0" collapsed="false">
      <c r="A253" s="74" t="n">
        <v>249</v>
      </c>
      <c r="B253" s="86"/>
      <c r="C253" s="87"/>
      <c r="D253" s="88"/>
      <c r="E253" s="89"/>
      <c r="F253" s="89"/>
      <c r="G253" s="90"/>
      <c r="H253" s="91"/>
      <c r="I253" s="92" t="str">
        <f aca="false">IF(OR(G253="",H253=""),"",G253*H253)</f>
        <v/>
      </c>
      <c r="J253" s="89"/>
      <c r="K253" s="93" t="str">
        <f aca="true">IF(AND(F253="",D253=""),"",IF(V253="Sí","✖️ Anulado",IF(O253&lt;&gt;"",IF(OR(Q253="Con incidencia",R253&lt;&gt;""),"⚠️ Llegó con incidencia",IF(AND(P253&lt;&gt;"",N(P253)&lt;N(G253)),"🧩 Llegó incompleto","✅ Recibido")),IF(C253="","🛒 Por pedir",IF(AND(N253&lt;&gt;"",TODAY()&gt;N(N253)),"🐢 Retrasado","📦 Pedido (esperando)")))))</f>
        <v/>
      </c>
      <c r="L253" s="94" t="str">
        <f aca="true">IF(OR(N253="",C253="",K253="",K253="✖️ Anulado"),"",IF(O253&lt;&gt;"",MAX(0,O253-N253),IF(TODAY()&gt;N253,TODAY()-N253,"")))</f>
        <v/>
      </c>
      <c r="M253" s="87"/>
      <c r="N253" s="95" t="str">
        <f aca="false">IF(M253&lt;&gt;"",M253,IF(OR(C253="",D253=""),"",IFERROR(IF(INDEX(Listas!$E$5:$E$60,MATCH(D253,Listas!$B$5:$B$60,0))="","",C253+INDEX(Listas!$E$5:$E$60,MATCH(D253,Listas!$B$5:$B$60,0))),"")))</f>
        <v/>
      </c>
      <c r="O253" s="87"/>
      <c r="P253" s="90"/>
      <c r="Q253" s="96"/>
      <c r="R253" s="89"/>
      <c r="S253" s="94" t="str">
        <f aca="false">IF(OR(C253="",O253="",K253="✖️ Anulado"),"",O253-C253)</f>
        <v/>
      </c>
      <c r="T253" s="87"/>
      <c r="U253" s="92" t="str">
        <f aca="false">IF(OR(O253="",K253="✖️ Anulado",AND(T253&lt;&gt;"",T253&lt;&gt;"No")),"",N(H253)*IF(P253="",N(G253),N(P253)))</f>
        <v/>
      </c>
      <c r="V253" s="96"/>
      <c r="W253" s="89"/>
    </row>
    <row r="254" customFormat="false" ht="21" hidden="false" customHeight="true" outlineLevel="0" collapsed="false">
      <c r="A254" s="74" t="n">
        <v>250</v>
      </c>
      <c r="B254" s="86"/>
      <c r="C254" s="87"/>
      <c r="D254" s="88"/>
      <c r="E254" s="89"/>
      <c r="F254" s="89"/>
      <c r="G254" s="90"/>
      <c r="H254" s="91"/>
      <c r="I254" s="92" t="str">
        <f aca="false">IF(OR(G254="",H254=""),"",G254*H254)</f>
        <v/>
      </c>
      <c r="J254" s="89"/>
      <c r="K254" s="93" t="str">
        <f aca="true">IF(AND(F254="",D254=""),"",IF(V254="Sí","✖️ Anulado",IF(O254&lt;&gt;"",IF(OR(Q254="Con incidencia",R254&lt;&gt;""),"⚠️ Llegó con incidencia",IF(AND(P254&lt;&gt;"",N(P254)&lt;N(G254)),"🧩 Llegó incompleto","✅ Recibido")),IF(C254="","🛒 Por pedir",IF(AND(N254&lt;&gt;"",TODAY()&gt;N(N254)),"🐢 Retrasado","📦 Pedido (esperando)")))))</f>
        <v/>
      </c>
      <c r="L254" s="94" t="str">
        <f aca="true">IF(OR(N254="",C254="",K254="",K254="✖️ Anulado"),"",IF(O254&lt;&gt;"",MAX(0,O254-N254),IF(TODAY()&gt;N254,TODAY()-N254,"")))</f>
        <v/>
      </c>
      <c r="M254" s="87"/>
      <c r="N254" s="95" t="str">
        <f aca="false">IF(M254&lt;&gt;"",M254,IF(OR(C254="",D254=""),"",IFERROR(IF(INDEX(Listas!$E$5:$E$60,MATCH(D254,Listas!$B$5:$B$60,0))="","",C254+INDEX(Listas!$E$5:$E$60,MATCH(D254,Listas!$B$5:$B$60,0))),"")))</f>
        <v/>
      </c>
      <c r="O254" s="87"/>
      <c r="P254" s="90"/>
      <c r="Q254" s="96"/>
      <c r="R254" s="89"/>
      <c r="S254" s="94" t="str">
        <f aca="false">IF(OR(C254="",O254="",K254="✖️ Anulado"),"",O254-C254)</f>
        <v/>
      </c>
      <c r="T254" s="87"/>
      <c r="U254" s="92" t="str">
        <f aca="false">IF(OR(O254="",K254="✖️ Anulado",AND(T254&lt;&gt;"",T254&lt;&gt;"No")),"",N(H254)*IF(P254="",N(G254),N(P254)))</f>
        <v/>
      </c>
      <c r="V254" s="96"/>
      <c r="W254" s="89"/>
    </row>
    <row r="255" customFormat="false" ht="21" hidden="false" customHeight="true" outlineLevel="0" collapsed="false">
      <c r="A255" s="74" t="n">
        <v>251</v>
      </c>
      <c r="B255" s="86"/>
      <c r="C255" s="87"/>
      <c r="D255" s="88"/>
      <c r="E255" s="89"/>
      <c r="F255" s="89"/>
      <c r="G255" s="90"/>
      <c r="H255" s="91"/>
      <c r="I255" s="92" t="str">
        <f aca="false">IF(OR(G255="",H255=""),"",G255*H255)</f>
        <v/>
      </c>
      <c r="J255" s="89"/>
      <c r="K255" s="93" t="str">
        <f aca="true">IF(AND(F255="",D255=""),"",IF(V255="Sí","✖️ Anulado",IF(O255&lt;&gt;"",IF(OR(Q255="Con incidencia",R255&lt;&gt;""),"⚠️ Llegó con incidencia",IF(AND(P255&lt;&gt;"",N(P255)&lt;N(G255)),"🧩 Llegó incompleto","✅ Recibido")),IF(C255="","🛒 Por pedir",IF(AND(N255&lt;&gt;"",TODAY()&gt;N(N255)),"🐢 Retrasado","📦 Pedido (esperando)")))))</f>
        <v/>
      </c>
      <c r="L255" s="94" t="str">
        <f aca="true">IF(OR(N255="",C255="",K255="",K255="✖️ Anulado"),"",IF(O255&lt;&gt;"",MAX(0,O255-N255),IF(TODAY()&gt;N255,TODAY()-N255,"")))</f>
        <v/>
      </c>
      <c r="M255" s="87"/>
      <c r="N255" s="95" t="str">
        <f aca="false">IF(M255&lt;&gt;"",M255,IF(OR(C255="",D255=""),"",IFERROR(IF(INDEX(Listas!$E$5:$E$60,MATCH(D255,Listas!$B$5:$B$60,0))="","",C255+INDEX(Listas!$E$5:$E$60,MATCH(D255,Listas!$B$5:$B$60,0))),"")))</f>
        <v/>
      </c>
      <c r="O255" s="87"/>
      <c r="P255" s="90"/>
      <c r="Q255" s="96"/>
      <c r="R255" s="89"/>
      <c r="S255" s="94" t="str">
        <f aca="false">IF(OR(C255="",O255="",K255="✖️ Anulado"),"",O255-C255)</f>
        <v/>
      </c>
      <c r="T255" s="87"/>
      <c r="U255" s="92" t="str">
        <f aca="false">IF(OR(O255="",K255="✖️ Anulado",AND(T255&lt;&gt;"",T255&lt;&gt;"No")),"",N(H255)*IF(P255="",N(G255),N(P255)))</f>
        <v/>
      </c>
      <c r="V255" s="96"/>
      <c r="W255" s="89"/>
    </row>
    <row r="256" customFormat="false" ht="21" hidden="false" customHeight="true" outlineLevel="0" collapsed="false">
      <c r="A256" s="74" t="n">
        <v>252</v>
      </c>
      <c r="B256" s="86"/>
      <c r="C256" s="87"/>
      <c r="D256" s="88"/>
      <c r="E256" s="89"/>
      <c r="F256" s="89"/>
      <c r="G256" s="90"/>
      <c r="H256" s="91"/>
      <c r="I256" s="92" t="str">
        <f aca="false">IF(OR(G256="",H256=""),"",G256*H256)</f>
        <v/>
      </c>
      <c r="J256" s="89"/>
      <c r="K256" s="93" t="str">
        <f aca="true">IF(AND(F256="",D256=""),"",IF(V256="Sí","✖️ Anulado",IF(O256&lt;&gt;"",IF(OR(Q256="Con incidencia",R256&lt;&gt;""),"⚠️ Llegó con incidencia",IF(AND(P256&lt;&gt;"",N(P256)&lt;N(G256)),"🧩 Llegó incompleto","✅ Recibido")),IF(C256="","🛒 Por pedir",IF(AND(N256&lt;&gt;"",TODAY()&gt;N(N256)),"🐢 Retrasado","📦 Pedido (esperando)")))))</f>
        <v/>
      </c>
      <c r="L256" s="94" t="str">
        <f aca="true">IF(OR(N256="",C256="",K256="",K256="✖️ Anulado"),"",IF(O256&lt;&gt;"",MAX(0,O256-N256),IF(TODAY()&gt;N256,TODAY()-N256,"")))</f>
        <v/>
      </c>
      <c r="M256" s="87"/>
      <c r="N256" s="95" t="str">
        <f aca="false">IF(M256&lt;&gt;"",M256,IF(OR(C256="",D256=""),"",IFERROR(IF(INDEX(Listas!$E$5:$E$60,MATCH(D256,Listas!$B$5:$B$60,0))="","",C256+INDEX(Listas!$E$5:$E$60,MATCH(D256,Listas!$B$5:$B$60,0))),"")))</f>
        <v/>
      </c>
      <c r="O256" s="87"/>
      <c r="P256" s="90"/>
      <c r="Q256" s="96"/>
      <c r="R256" s="89"/>
      <c r="S256" s="94" t="str">
        <f aca="false">IF(OR(C256="",O256="",K256="✖️ Anulado"),"",O256-C256)</f>
        <v/>
      </c>
      <c r="T256" s="87"/>
      <c r="U256" s="92" t="str">
        <f aca="false">IF(OR(O256="",K256="✖️ Anulado",AND(T256&lt;&gt;"",T256&lt;&gt;"No")),"",N(H256)*IF(P256="",N(G256),N(P256)))</f>
        <v/>
      </c>
      <c r="V256" s="96"/>
      <c r="W256" s="89"/>
    </row>
    <row r="257" customFormat="false" ht="21" hidden="false" customHeight="true" outlineLevel="0" collapsed="false">
      <c r="A257" s="74" t="n">
        <v>253</v>
      </c>
      <c r="B257" s="86"/>
      <c r="C257" s="87"/>
      <c r="D257" s="88"/>
      <c r="E257" s="89"/>
      <c r="F257" s="89"/>
      <c r="G257" s="90"/>
      <c r="H257" s="91"/>
      <c r="I257" s="92" t="str">
        <f aca="false">IF(OR(G257="",H257=""),"",G257*H257)</f>
        <v/>
      </c>
      <c r="J257" s="89"/>
      <c r="K257" s="93" t="str">
        <f aca="true">IF(AND(F257="",D257=""),"",IF(V257="Sí","✖️ Anulado",IF(O257&lt;&gt;"",IF(OR(Q257="Con incidencia",R257&lt;&gt;""),"⚠️ Llegó con incidencia",IF(AND(P257&lt;&gt;"",N(P257)&lt;N(G257)),"🧩 Llegó incompleto","✅ Recibido")),IF(C257="","🛒 Por pedir",IF(AND(N257&lt;&gt;"",TODAY()&gt;N(N257)),"🐢 Retrasado","📦 Pedido (esperando)")))))</f>
        <v/>
      </c>
      <c r="L257" s="94" t="str">
        <f aca="true">IF(OR(N257="",C257="",K257="",K257="✖️ Anulado"),"",IF(O257&lt;&gt;"",MAX(0,O257-N257),IF(TODAY()&gt;N257,TODAY()-N257,"")))</f>
        <v/>
      </c>
      <c r="M257" s="87"/>
      <c r="N257" s="95" t="str">
        <f aca="false">IF(M257&lt;&gt;"",M257,IF(OR(C257="",D257=""),"",IFERROR(IF(INDEX(Listas!$E$5:$E$60,MATCH(D257,Listas!$B$5:$B$60,0))="","",C257+INDEX(Listas!$E$5:$E$60,MATCH(D257,Listas!$B$5:$B$60,0))),"")))</f>
        <v/>
      </c>
      <c r="O257" s="87"/>
      <c r="P257" s="90"/>
      <c r="Q257" s="96"/>
      <c r="R257" s="89"/>
      <c r="S257" s="94" t="str">
        <f aca="false">IF(OR(C257="",O257="",K257="✖️ Anulado"),"",O257-C257)</f>
        <v/>
      </c>
      <c r="T257" s="87"/>
      <c r="U257" s="92" t="str">
        <f aca="false">IF(OR(O257="",K257="✖️ Anulado",AND(T257&lt;&gt;"",T257&lt;&gt;"No")),"",N(H257)*IF(P257="",N(G257),N(P257)))</f>
        <v/>
      </c>
      <c r="V257" s="96"/>
      <c r="W257" s="89"/>
    </row>
    <row r="258" customFormat="false" ht="21" hidden="false" customHeight="true" outlineLevel="0" collapsed="false">
      <c r="A258" s="74" t="n">
        <v>254</v>
      </c>
      <c r="B258" s="86"/>
      <c r="C258" s="87"/>
      <c r="D258" s="88"/>
      <c r="E258" s="89"/>
      <c r="F258" s="89"/>
      <c r="G258" s="90"/>
      <c r="H258" s="91"/>
      <c r="I258" s="92" t="str">
        <f aca="false">IF(OR(G258="",H258=""),"",G258*H258)</f>
        <v/>
      </c>
      <c r="J258" s="89"/>
      <c r="K258" s="93" t="str">
        <f aca="true">IF(AND(F258="",D258=""),"",IF(V258="Sí","✖️ Anulado",IF(O258&lt;&gt;"",IF(OR(Q258="Con incidencia",R258&lt;&gt;""),"⚠️ Llegó con incidencia",IF(AND(P258&lt;&gt;"",N(P258)&lt;N(G258)),"🧩 Llegó incompleto","✅ Recibido")),IF(C258="","🛒 Por pedir",IF(AND(N258&lt;&gt;"",TODAY()&gt;N(N258)),"🐢 Retrasado","📦 Pedido (esperando)")))))</f>
        <v/>
      </c>
      <c r="L258" s="94" t="str">
        <f aca="true">IF(OR(N258="",C258="",K258="",K258="✖️ Anulado"),"",IF(O258&lt;&gt;"",MAX(0,O258-N258),IF(TODAY()&gt;N258,TODAY()-N258,"")))</f>
        <v/>
      </c>
      <c r="M258" s="87"/>
      <c r="N258" s="95" t="str">
        <f aca="false">IF(M258&lt;&gt;"",M258,IF(OR(C258="",D258=""),"",IFERROR(IF(INDEX(Listas!$E$5:$E$60,MATCH(D258,Listas!$B$5:$B$60,0))="","",C258+INDEX(Listas!$E$5:$E$60,MATCH(D258,Listas!$B$5:$B$60,0))),"")))</f>
        <v/>
      </c>
      <c r="O258" s="87"/>
      <c r="P258" s="90"/>
      <c r="Q258" s="96"/>
      <c r="R258" s="89"/>
      <c r="S258" s="94" t="str">
        <f aca="false">IF(OR(C258="",O258="",K258="✖️ Anulado"),"",O258-C258)</f>
        <v/>
      </c>
      <c r="T258" s="87"/>
      <c r="U258" s="92" t="str">
        <f aca="false">IF(OR(O258="",K258="✖️ Anulado",AND(T258&lt;&gt;"",T258&lt;&gt;"No")),"",N(H258)*IF(P258="",N(G258),N(P258)))</f>
        <v/>
      </c>
      <c r="V258" s="96"/>
      <c r="W258" s="89"/>
    </row>
    <row r="259" customFormat="false" ht="21" hidden="false" customHeight="true" outlineLevel="0" collapsed="false">
      <c r="A259" s="74" t="n">
        <v>255</v>
      </c>
      <c r="B259" s="86"/>
      <c r="C259" s="87"/>
      <c r="D259" s="88"/>
      <c r="E259" s="89"/>
      <c r="F259" s="89"/>
      <c r="G259" s="90"/>
      <c r="H259" s="91"/>
      <c r="I259" s="92" t="str">
        <f aca="false">IF(OR(G259="",H259=""),"",G259*H259)</f>
        <v/>
      </c>
      <c r="J259" s="89"/>
      <c r="K259" s="93" t="str">
        <f aca="true">IF(AND(F259="",D259=""),"",IF(V259="Sí","✖️ Anulado",IF(O259&lt;&gt;"",IF(OR(Q259="Con incidencia",R259&lt;&gt;""),"⚠️ Llegó con incidencia",IF(AND(P259&lt;&gt;"",N(P259)&lt;N(G259)),"🧩 Llegó incompleto","✅ Recibido")),IF(C259="","🛒 Por pedir",IF(AND(N259&lt;&gt;"",TODAY()&gt;N(N259)),"🐢 Retrasado","📦 Pedido (esperando)")))))</f>
        <v/>
      </c>
      <c r="L259" s="94" t="str">
        <f aca="true">IF(OR(N259="",C259="",K259="",K259="✖️ Anulado"),"",IF(O259&lt;&gt;"",MAX(0,O259-N259),IF(TODAY()&gt;N259,TODAY()-N259,"")))</f>
        <v/>
      </c>
      <c r="M259" s="87"/>
      <c r="N259" s="95" t="str">
        <f aca="false">IF(M259&lt;&gt;"",M259,IF(OR(C259="",D259=""),"",IFERROR(IF(INDEX(Listas!$E$5:$E$60,MATCH(D259,Listas!$B$5:$B$60,0))="","",C259+INDEX(Listas!$E$5:$E$60,MATCH(D259,Listas!$B$5:$B$60,0))),"")))</f>
        <v/>
      </c>
      <c r="O259" s="87"/>
      <c r="P259" s="90"/>
      <c r="Q259" s="96"/>
      <c r="R259" s="89"/>
      <c r="S259" s="94" t="str">
        <f aca="false">IF(OR(C259="",O259="",K259="✖️ Anulado"),"",O259-C259)</f>
        <v/>
      </c>
      <c r="T259" s="87"/>
      <c r="U259" s="92" t="str">
        <f aca="false">IF(OR(O259="",K259="✖️ Anulado",AND(T259&lt;&gt;"",T259&lt;&gt;"No")),"",N(H259)*IF(P259="",N(G259),N(P259)))</f>
        <v/>
      </c>
      <c r="V259" s="96"/>
      <c r="W259" s="89"/>
    </row>
    <row r="260" customFormat="false" ht="21" hidden="false" customHeight="true" outlineLevel="0" collapsed="false">
      <c r="A260" s="74" t="n">
        <v>256</v>
      </c>
      <c r="B260" s="86"/>
      <c r="C260" s="87"/>
      <c r="D260" s="88"/>
      <c r="E260" s="89"/>
      <c r="F260" s="89"/>
      <c r="G260" s="90"/>
      <c r="H260" s="91"/>
      <c r="I260" s="92" t="str">
        <f aca="false">IF(OR(G260="",H260=""),"",G260*H260)</f>
        <v/>
      </c>
      <c r="J260" s="89"/>
      <c r="K260" s="93" t="str">
        <f aca="true">IF(AND(F260="",D260=""),"",IF(V260="Sí","✖️ Anulado",IF(O260&lt;&gt;"",IF(OR(Q260="Con incidencia",R260&lt;&gt;""),"⚠️ Llegó con incidencia",IF(AND(P260&lt;&gt;"",N(P260)&lt;N(G260)),"🧩 Llegó incompleto","✅ Recibido")),IF(C260="","🛒 Por pedir",IF(AND(N260&lt;&gt;"",TODAY()&gt;N(N260)),"🐢 Retrasado","📦 Pedido (esperando)")))))</f>
        <v/>
      </c>
      <c r="L260" s="94" t="str">
        <f aca="true">IF(OR(N260="",C260="",K260="",K260="✖️ Anulado"),"",IF(O260&lt;&gt;"",MAX(0,O260-N260),IF(TODAY()&gt;N260,TODAY()-N260,"")))</f>
        <v/>
      </c>
      <c r="M260" s="87"/>
      <c r="N260" s="95" t="str">
        <f aca="false">IF(M260&lt;&gt;"",M260,IF(OR(C260="",D260=""),"",IFERROR(IF(INDEX(Listas!$E$5:$E$60,MATCH(D260,Listas!$B$5:$B$60,0))="","",C260+INDEX(Listas!$E$5:$E$60,MATCH(D260,Listas!$B$5:$B$60,0))),"")))</f>
        <v/>
      </c>
      <c r="O260" s="87"/>
      <c r="P260" s="90"/>
      <c r="Q260" s="96"/>
      <c r="R260" s="89"/>
      <c r="S260" s="94" t="str">
        <f aca="false">IF(OR(C260="",O260="",K260="✖️ Anulado"),"",O260-C260)</f>
        <v/>
      </c>
      <c r="T260" s="87"/>
      <c r="U260" s="92" t="str">
        <f aca="false">IF(OR(O260="",K260="✖️ Anulado",AND(T260&lt;&gt;"",T260&lt;&gt;"No")),"",N(H260)*IF(P260="",N(G260),N(P260)))</f>
        <v/>
      </c>
      <c r="V260" s="96"/>
      <c r="W260" s="89"/>
    </row>
    <row r="261" customFormat="false" ht="21" hidden="false" customHeight="true" outlineLevel="0" collapsed="false">
      <c r="A261" s="74" t="n">
        <v>257</v>
      </c>
      <c r="B261" s="86"/>
      <c r="C261" s="87"/>
      <c r="D261" s="88"/>
      <c r="E261" s="89"/>
      <c r="F261" s="89"/>
      <c r="G261" s="90"/>
      <c r="H261" s="91"/>
      <c r="I261" s="92" t="str">
        <f aca="false">IF(OR(G261="",H261=""),"",G261*H261)</f>
        <v/>
      </c>
      <c r="J261" s="89"/>
      <c r="K261" s="93" t="str">
        <f aca="true">IF(AND(F261="",D261=""),"",IF(V261="Sí","✖️ Anulado",IF(O261&lt;&gt;"",IF(OR(Q261="Con incidencia",R261&lt;&gt;""),"⚠️ Llegó con incidencia",IF(AND(P261&lt;&gt;"",N(P261)&lt;N(G261)),"🧩 Llegó incompleto","✅ Recibido")),IF(C261="","🛒 Por pedir",IF(AND(N261&lt;&gt;"",TODAY()&gt;N(N261)),"🐢 Retrasado","📦 Pedido (esperando)")))))</f>
        <v/>
      </c>
      <c r="L261" s="94" t="str">
        <f aca="true">IF(OR(N261="",C261="",K261="",K261="✖️ Anulado"),"",IF(O261&lt;&gt;"",MAX(0,O261-N261),IF(TODAY()&gt;N261,TODAY()-N261,"")))</f>
        <v/>
      </c>
      <c r="M261" s="87"/>
      <c r="N261" s="95" t="str">
        <f aca="false">IF(M261&lt;&gt;"",M261,IF(OR(C261="",D261=""),"",IFERROR(IF(INDEX(Listas!$E$5:$E$60,MATCH(D261,Listas!$B$5:$B$60,0))="","",C261+INDEX(Listas!$E$5:$E$60,MATCH(D261,Listas!$B$5:$B$60,0))),"")))</f>
        <v/>
      </c>
      <c r="O261" s="87"/>
      <c r="P261" s="90"/>
      <c r="Q261" s="96"/>
      <c r="R261" s="89"/>
      <c r="S261" s="94" t="str">
        <f aca="false">IF(OR(C261="",O261="",K261="✖️ Anulado"),"",O261-C261)</f>
        <v/>
      </c>
      <c r="T261" s="87"/>
      <c r="U261" s="92" t="str">
        <f aca="false">IF(OR(O261="",K261="✖️ Anulado",AND(T261&lt;&gt;"",T261&lt;&gt;"No")),"",N(H261)*IF(P261="",N(G261),N(P261)))</f>
        <v/>
      </c>
      <c r="V261" s="96"/>
      <c r="W261" s="89"/>
    </row>
    <row r="262" customFormat="false" ht="21" hidden="false" customHeight="true" outlineLevel="0" collapsed="false">
      <c r="A262" s="74" t="n">
        <v>258</v>
      </c>
      <c r="B262" s="86"/>
      <c r="C262" s="87"/>
      <c r="D262" s="88"/>
      <c r="E262" s="89"/>
      <c r="F262" s="89"/>
      <c r="G262" s="90"/>
      <c r="H262" s="91"/>
      <c r="I262" s="92" t="str">
        <f aca="false">IF(OR(G262="",H262=""),"",G262*H262)</f>
        <v/>
      </c>
      <c r="J262" s="89"/>
      <c r="K262" s="93" t="str">
        <f aca="true">IF(AND(F262="",D262=""),"",IF(V262="Sí","✖️ Anulado",IF(O262&lt;&gt;"",IF(OR(Q262="Con incidencia",R262&lt;&gt;""),"⚠️ Llegó con incidencia",IF(AND(P262&lt;&gt;"",N(P262)&lt;N(G262)),"🧩 Llegó incompleto","✅ Recibido")),IF(C262="","🛒 Por pedir",IF(AND(N262&lt;&gt;"",TODAY()&gt;N(N262)),"🐢 Retrasado","📦 Pedido (esperando)")))))</f>
        <v/>
      </c>
      <c r="L262" s="94" t="str">
        <f aca="true">IF(OR(N262="",C262="",K262="",K262="✖️ Anulado"),"",IF(O262&lt;&gt;"",MAX(0,O262-N262),IF(TODAY()&gt;N262,TODAY()-N262,"")))</f>
        <v/>
      </c>
      <c r="M262" s="87"/>
      <c r="N262" s="95" t="str">
        <f aca="false">IF(M262&lt;&gt;"",M262,IF(OR(C262="",D262=""),"",IFERROR(IF(INDEX(Listas!$E$5:$E$60,MATCH(D262,Listas!$B$5:$B$60,0))="","",C262+INDEX(Listas!$E$5:$E$60,MATCH(D262,Listas!$B$5:$B$60,0))),"")))</f>
        <v/>
      </c>
      <c r="O262" s="87"/>
      <c r="P262" s="90"/>
      <c r="Q262" s="96"/>
      <c r="R262" s="89"/>
      <c r="S262" s="94" t="str">
        <f aca="false">IF(OR(C262="",O262="",K262="✖️ Anulado"),"",O262-C262)</f>
        <v/>
      </c>
      <c r="T262" s="87"/>
      <c r="U262" s="92" t="str">
        <f aca="false">IF(OR(O262="",K262="✖️ Anulado",AND(T262&lt;&gt;"",T262&lt;&gt;"No")),"",N(H262)*IF(P262="",N(G262),N(P262)))</f>
        <v/>
      </c>
      <c r="V262" s="96"/>
      <c r="W262" s="89"/>
    </row>
    <row r="263" customFormat="false" ht="21" hidden="false" customHeight="true" outlineLevel="0" collapsed="false">
      <c r="A263" s="74" t="n">
        <v>259</v>
      </c>
      <c r="B263" s="86"/>
      <c r="C263" s="87"/>
      <c r="D263" s="88"/>
      <c r="E263" s="89"/>
      <c r="F263" s="89"/>
      <c r="G263" s="90"/>
      <c r="H263" s="91"/>
      <c r="I263" s="92" t="str">
        <f aca="false">IF(OR(G263="",H263=""),"",G263*H263)</f>
        <v/>
      </c>
      <c r="J263" s="89"/>
      <c r="K263" s="93" t="str">
        <f aca="true">IF(AND(F263="",D263=""),"",IF(V263="Sí","✖️ Anulado",IF(O263&lt;&gt;"",IF(OR(Q263="Con incidencia",R263&lt;&gt;""),"⚠️ Llegó con incidencia",IF(AND(P263&lt;&gt;"",N(P263)&lt;N(G263)),"🧩 Llegó incompleto","✅ Recibido")),IF(C263="","🛒 Por pedir",IF(AND(N263&lt;&gt;"",TODAY()&gt;N(N263)),"🐢 Retrasado","📦 Pedido (esperando)")))))</f>
        <v/>
      </c>
      <c r="L263" s="94" t="str">
        <f aca="true">IF(OR(N263="",C263="",K263="",K263="✖️ Anulado"),"",IF(O263&lt;&gt;"",MAX(0,O263-N263),IF(TODAY()&gt;N263,TODAY()-N263,"")))</f>
        <v/>
      </c>
      <c r="M263" s="87"/>
      <c r="N263" s="95" t="str">
        <f aca="false">IF(M263&lt;&gt;"",M263,IF(OR(C263="",D263=""),"",IFERROR(IF(INDEX(Listas!$E$5:$E$60,MATCH(D263,Listas!$B$5:$B$60,0))="","",C263+INDEX(Listas!$E$5:$E$60,MATCH(D263,Listas!$B$5:$B$60,0))),"")))</f>
        <v/>
      </c>
      <c r="O263" s="87"/>
      <c r="P263" s="90"/>
      <c r="Q263" s="96"/>
      <c r="R263" s="89"/>
      <c r="S263" s="94" t="str">
        <f aca="false">IF(OR(C263="",O263="",K263="✖️ Anulado"),"",O263-C263)</f>
        <v/>
      </c>
      <c r="T263" s="87"/>
      <c r="U263" s="92" t="str">
        <f aca="false">IF(OR(O263="",K263="✖️ Anulado",AND(T263&lt;&gt;"",T263&lt;&gt;"No")),"",N(H263)*IF(P263="",N(G263),N(P263)))</f>
        <v/>
      </c>
      <c r="V263" s="96"/>
      <c r="W263" s="89"/>
    </row>
    <row r="264" customFormat="false" ht="21" hidden="false" customHeight="true" outlineLevel="0" collapsed="false">
      <c r="A264" s="74" t="n">
        <v>260</v>
      </c>
      <c r="B264" s="86"/>
      <c r="C264" s="87"/>
      <c r="D264" s="88"/>
      <c r="E264" s="89"/>
      <c r="F264" s="89"/>
      <c r="G264" s="90"/>
      <c r="H264" s="91"/>
      <c r="I264" s="92" t="str">
        <f aca="false">IF(OR(G264="",H264=""),"",G264*H264)</f>
        <v/>
      </c>
      <c r="J264" s="89"/>
      <c r="K264" s="93" t="str">
        <f aca="true">IF(AND(F264="",D264=""),"",IF(V264="Sí","✖️ Anulado",IF(O264&lt;&gt;"",IF(OR(Q264="Con incidencia",R264&lt;&gt;""),"⚠️ Llegó con incidencia",IF(AND(P264&lt;&gt;"",N(P264)&lt;N(G264)),"🧩 Llegó incompleto","✅ Recibido")),IF(C264="","🛒 Por pedir",IF(AND(N264&lt;&gt;"",TODAY()&gt;N(N264)),"🐢 Retrasado","📦 Pedido (esperando)")))))</f>
        <v/>
      </c>
      <c r="L264" s="94" t="str">
        <f aca="true">IF(OR(N264="",C264="",K264="",K264="✖️ Anulado"),"",IF(O264&lt;&gt;"",MAX(0,O264-N264),IF(TODAY()&gt;N264,TODAY()-N264,"")))</f>
        <v/>
      </c>
      <c r="M264" s="87"/>
      <c r="N264" s="95" t="str">
        <f aca="false">IF(M264&lt;&gt;"",M264,IF(OR(C264="",D264=""),"",IFERROR(IF(INDEX(Listas!$E$5:$E$60,MATCH(D264,Listas!$B$5:$B$60,0))="","",C264+INDEX(Listas!$E$5:$E$60,MATCH(D264,Listas!$B$5:$B$60,0))),"")))</f>
        <v/>
      </c>
      <c r="O264" s="87"/>
      <c r="P264" s="90"/>
      <c r="Q264" s="96"/>
      <c r="R264" s="89"/>
      <c r="S264" s="94" t="str">
        <f aca="false">IF(OR(C264="",O264="",K264="✖️ Anulado"),"",O264-C264)</f>
        <v/>
      </c>
      <c r="T264" s="87"/>
      <c r="U264" s="92" t="str">
        <f aca="false">IF(OR(O264="",K264="✖️ Anulado",AND(T264&lt;&gt;"",T264&lt;&gt;"No")),"",N(H264)*IF(P264="",N(G264),N(P264)))</f>
        <v/>
      </c>
      <c r="V264" s="96"/>
      <c r="W264" s="89"/>
    </row>
    <row r="265" customFormat="false" ht="21" hidden="false" customHeight="true" outlineLevel="0" collapsed="false">
      <c r="A265" s="74" t="n">
        <v>261</v>
      </c>
      <c r="B265" s="86"/>
      <c r="C265" s="87"/>
      <c r="D265" s="88"/>
      <c r="E265" s="89"/>
      <c r="F265" s="89"/>
      <c r="G265" s="90"/>
      <c r="H265" s="91"/>
      <c r="I265" s="92" t="str">
        <f aca="false">IF(OR(G265="",H265=""),"",G265*H265)</f>
        <v/>
      </c>
      <c r="J265" s="89"/>
      <c r="K265" s="93" t="str">
        <f aca="true">IF(AND(F265="",D265=""),"",IF(V265="Sí","✖️ Anulado",IF(O265&lt;&gt;"",IF(OR(Q265="Con incidencia",R265&lt;&gt;""),"⚠️ Llegó con incidencia",IF(AND(P265&lt;&gt;"",N(P265)&lt;N(G265)),"🧩 Llegó incompleto","✅ Recibido")),IF(C265="","🛒 Por pedir",IF(AND(N265&lt;&gt;"",TODAY()&gt;N(N265)),"🐢 Retrasado","📦 Pedido (esperando)")))))</f>
        <v/>
      </c>
      <c r="L265" s="94" t="str">
        <f aca="true">IF(OR(N265="",C265="",K265="",K265="✖️ Anulado"),"",IF(O265&lt;&gt;"",MAX(0,O265-N265),IF(TODAY()&gt;N265,TODAY()-N265,"")))</f>
        <v/>
      </c>
      <c r="M265" s="87"/>
      <c r="N265" s="95" t="str">
        <f aca="false">IF(M265&lt;&gt;"",M265,IF(OR(C265="",D265=""),"",IFERROR(IF(INDEX(Listas!$E$5:$E$60,MATCH(D265,Listas!$B$5:$B$60,0))="","",C265+INDEX(Listas!$E$5:$E$60,MATCH(D265,Listas!$B$5:$B$60,0))),"")))</f>
        <v/>
      </c>
      <c r="O265" s="87"/>
      <c r="P265" s="90"/>
      <c r="Q265" s="96"/>
      <c r="R265" s="89"/>
      <c r="S265" s="94" t="str">
        <f aca="false">IF(OR(C265="",O265="",K265="✖️ Anulado"),"",O265-C265)</f>
        <v/>
      </c>
      <c r="T265" s="87"/>
      <c r="U265" s="92" t="str">
        <f aca="false">IF(OR(O265="",K265="✖️ Anulado",AND(T265&lt;&gt;"",T265&lt;&gt;"No")),"",N(H265)*IF(P265="",N(G265),N(P265)))</f>
        <v/>
      </c>
      <c r="V265" s="96"/>
      <c r="W265" s="89"/>
    </row>
    <row r="266" customFormat="false" ht="21" hidden="false" customHeight="true" outlineLevel="0" collapsed="false">
      <c r="A266" s="74" t="n">
        <v>262</v>
      </c>
      <c r="B266" s="86"/>
      <c r="C266" s="87"/>
      <c r="D266" s="88"/>
      <c r="E266" s="89"/>
      <c r="F266" s="89"/>
      <c r="G266" s="90"/>
      <c r="H266" s="91"/>
      <c r="I266" s="92" t="str">
        <f aca="false">IF(OR(G266="",H266=""),"",G266*H266)</f>
        <v/>
      </c>
      <c r="J266" s="89"/>
      <c r="K266" s="93" t="str">
        <f aca="true">IF(AND(F266="",D266=""),"",IF(V266="Sí","✖️ Anulado",IF(O266&lt;&gt;"",IF(OR(Q266="Con incidencia",R266&lt;&gt;""),"⚠️ Llegó con incidencia",IF(AND(P266&lt;&gt;"",N(P266)&lt;N(G266)),"🧩 Llegó incompleto","✅ Recibido")),IF(C266="","🛒 Por pedir",IF(AND(N266&lt;&gt;"",TODAY()&gt;N(N266)),"🐢 Retrasado","📦 Pedido (esperando)")))))</f>
        <v/>
      </c>
      <c r="L266" s="94" t="str">
        <f aca="true">IF(OR(N266="",C266="",K266="",K266="✖️ Anulado"),"",IF(O266&lt;&gt;"",MAX(0,O266-N266),IF(TODAY()&gt;N266,TODAY()-N266,"")))</f>
        <v/>
      </c>
      <c r="M266" s="87"/>
      <c r="N266" s="95" t="str">
        <f aca="false">IF(M266&lt;&gt;"",M266,IF(OR(C266="",D266=""),"",IFERROR(IF(INDEX(Listas!$E$5:$E$60,MATCH(D266,Listas!$B$5:$B$60,0))="","",C266+INDEX(Listas!$E$5:$E$60,MATCH(D266,Listas!$B$5:$B$60,0))),"")))</f>
        <v/>
      </c>
      <c r="O266" s="87"/>
      <c r="P266" s="90"/>
      <c r="Q266" s="96"/>
      <c r="R266" s="89"/>
      <c r="S266" s="94" t="str">
        <f aca="false">IF(OR(C266="",O266="",K266="✖️ Anulado"),"",O266-C266)</f>
        <v/>
      </c>
      <c r="T266" s="87"/>
      <c r="U266" s="92" t="str">
        <f aca="false">IF(OR(O266="",K266="✖️ Anulado",AND(T266&lt;&gt;"",T266&lt;&gt;"No")),"",N(H266)*IF(P266="",N(G266),N(P266)))</f>
        <v/>
      </c>
      <c r="V266" s="96"/>
      <c r="W266" s="89"/>
    </row>
    <row r="267" customFormat="false" ht="21" hidden="false" customHeight="true" outlineLevel="0" collapsed="false">
      <c r="A267" s="74" t="n">
        <v>263</v>
      </c>
      <c r="B267" s="86"/>
      <c r="C267" s="87"/>
      <c r="D267" s="88"/>
      <c r="E267" s="89"/>
      <c r="F267" s="89"/>
      <c r="G267" s="90"/>
      <c r="H267" s="91"/>
      <c r="I267" s="92" t="str">
        <f aca="false">IF(OR(G267="",H267=""),"",G267*H267)</f>
        <v/>
      </c>
      <c r="J267" s="89"/>
      <c r="K267" s="93" t="str">
        <f aca="true">IF(AND(F267="",D267=""),"",IF(V267="Sí","✖️ Anulado",IF(O267&lt;&gt;"",IF(OR(Q267="Con incidencia",R267&lt;&gt;""),"⚠️ Llegó con incidencia",IF(AND(P267&lt;&gt;"",N(P267)&lt;N(G267)),"🧩 Llegó incompleto","✅ Recibido")),IF(C267="","🛒 Por pedir",IF(AND(N267&lt;&gt;"",TODAY()&gt;N(N267)),"🐢 Retrasado","📦 Pedido (esperando)")))))</f>
        <v/>
      </c>
      <c r="L267" s="94" t="str">
        <f aca="true">IF(OR(N267="",C267="",K267="",K267="✖️ Anulado"),"",IF(O267&lt;&gt;"",MAX(0,O267-N267),IF(TODAY()&gt;N267,TODAY()-N267,"")))</f>
        <v/>
      </c>
      <c r="M267" s="87"/>
      <c r="N267" s="95" t="str">
        <f aca="false">IF(M267&lt;&gt;"",M267,IF(OR(C267="",D267=""),"",IFERROR(IF(INDEX(Listas!$E$5:$E$60,MATCH(D267,Listas!$B$5:$B$60,0))="","",C267+INDEX(Listas!$E$5:$E$60,MATCH(D267,Listas!$B$5:$B$60,0))),"")))</f>
        <v/>
      </c>
      <c r="O267" s="87"/>
      <c r="P267" s="90"/>
      <c r="Q267" s="96"/>
      <c r="R267" s="89"/>
      <c r="S267" s="94" t="str">
        <f aca="false">IF(OR(C267="",O267="",K267="✖️ Anulado"),"",O267-C267)</f>
        <v/>
      </c>
      <c r="T267" s="87"/>
      <c r="U267" s="92" t="str">
        <f aca="false">IF(OR(O267="",K267="✖️ Anulado",AND(T267&lt;&gt;"",T267&lt;&gt;"No")),"",N(H267)*IF(P267="",N(G267),N(P267)))</f>
        <v/>
      </c>
      <c r="V267" s="96"/>
      <c r="W267" s="89"/>
    </row>
    <row r="268" customFormat="false" ht="21" hidden="false" customHeight="true" outlineLevel="0" collapsed="false">
      <c r="A268" s="74" t="n">
        <v>264</v>
      </c>
      <c r="B268" s="86"/>
      <c r="C268" s="87"/>
      <c r="D268" s="88"/>
      <c r="E268" s="89"/>
      <c r="F268" s="89"/>
      <c r="G268" s="90"/>
      <c r="H268" s="91"/>
      <c r="I268" s="92" t="str">
        <f aca="false">IF(OR(G268="",H268=""),"",G268*H268)</f>
        <v/>
      </c>
      <c r="J268" s="89"/>
      <c r="K268" s="93" t="str">
        <f aca="true">IF(AND(F268="",D268=""),"",IF(V268="Sí","✖️ Anulado",IF(O268&lt;&gt;"",IF(OR(Q268="Con incidencia",R268&lt;&gt;""),"⚠️ Llegó con incidencia",IF(AND(P268&lt;&gt;"",N(P268)&lt;N(G268)),"🧩 Llegó incompleto","✅ Recibido")),IF(C268="","🛒 Por pedir",IF(AND(N268&lt;&gt;"",TODAY()&gt;N(N268)),"🐢 Retrasado","📦 Pedido (esperando)")))))</f>
        <v/>
      </c>
      <c r="L268" s="94" t="str">
        <f aca="true">IF(OR(N268="",C268="",K268="",K268="✖️ Anulado"),"",IF(O268&lt;&gt;"",MAX(0,O268-N268),IF(TODAY()&gt;N268,TODAY()-N268,"")))</f>
        <v/>
      </c>
      <c r="M268" s="87"/>
      <c r="N268" s="95" t="str">
        <f aca="false">IF(M268&lt;&gt;"",M268,IF(OR(C268="",D268=""),"",IFERROR(IF(INDEX(Listas!$E$5:$E$60,MATCH(D268,Listas!$B$5:$B$60,0))="","",C268+INDEX(Listas!$E$5:$E$60,MATCH(D268,Listas!$B$5:$B$60,0))),"")))</f>
        <v/>
      </c>
      <c r="O268" s="87"/>
      <c r="P268" s="90"/>
      <c r="Q268" s="96"/>
      <c r="R268" s="89"/>
      <c r="S268" s="94" t="str">
        <f aca="false">IF(OR(C268="",O268="",K268="✖️ Anulado"),"",O268-C268)</f>
        <v/>
      </c>
      <c r="T268" s="87"/>
      <c r="U268" s="92" t="str">
        <f aca="false">IF(OR(O268="",K268="✖️ Anulado",AND(T268&lt;&gt;"",T268&lt;&gt;"No")),"",N(H268)*IF(P268="",N(G268),N(P268)))</f>
        <v/>
      </c>
      <c r="V268" s="96"/>
      <c r="W268" s="89"/>
    </row>
    <row r="269" customFormat="false" ht="21" hidden="false" customHeight="true" outlineLevel="0" collapsed="false">
      <c r="A269" s="74" t="n">
        <v>265</v>
      </c>
      <c r="B269" s="86"/>
      <c r="C269" s="87"/>
      <c r="D269" s="88"/>
      <c r="E269" s="89"/>
      <c r="F269" s="89"/>
      <c r="G269" s="90"/>
      <c r="H269" s="91"/>
      <c r="I269" s="92" t="str">
        <f aca="false">IF(OR(G269="",H269=""),"",G269*H269)</f>
        <v/>
      </c>
      <c r="J269" s="89"/>
      <c r="K269" s="93" t="str">
        <f aca="true">IF(AND(F269="",D269=""),"",IF(V269="Sí","✖️ Anulado",IF(O269&lt;&gt;"",IF(OR(Q269="Con incidencia",R269&lt;&gt;""),"⚠️ Llegó con incidencia",IF(AND(P269&lt;&gt;"",N(P269)&lt;N(G269)),"🧩 Llegó incompleto","✅ Recibido")),IF(C269="","🛒 Por pedir",IF(AND(N269&lt;&gt;"",TODAY()&gt;N(N269)),"🐢 Retrasado","📦 Pedido (esperando)")))))</f>
        <v/>
      </c>
      <c r="L269" s="94" t="str">
        <f aca="true">IF(OR(N269="",C269="",K269="",K269="✖️ Anulado"),"",IF(O269&lt;&gt;"",MAX(0,O269-N269),IF(TODAY()&gt;N269,TODAY()-N269,"")))</f>
        <v/>
      </c>
      <c r="M269" s="87"/>
      <c r="N269" s="95" t="str">
        <f aca="false">IF(M269&lt;&gt;"",M269,IF(OR(C269="",D269=""),"",IFERROR(IF(INDEX(Listas!$E$5:$E$60,MATCH(D269,Listas!$B$5:$B$60,0))="","",C269+INDEX(Listas!$E$5:$E$60,MATCH(D269,Listas!$B$5:$B$60,0))),"")))</f>
        <v/>
      </c>
      <c r="O269" s="87"/>
      <c r="P269" s="90"/>
      <c r="Q269" s="96"/>
      <c r="R269" s="89"/>
      <c r="S269" s="94" t="str">
        <f aca="false">IF(OR(C269="",O269="",K269="✖️ Anulado"),"",O269-C269)</f>
        <v/>
      </c>
      <c r="T269" s="87"/>
      <c r="U269" s="92" t="str">
        <f aca="false">IF(OR(O269="",K269="✖️ Anulado",AND(T269&lt;&gt;"",T269&lt;&gt;"No")),"",N(H269)*IF(P269="",N(G269),N(P269)))</f>
        <v/>
      </c>
      <c r="V269" s="96"/>
      <c r="W269" s="89"/>
    </row>
    <row r="270" customFormat="false" ht="21" hidden="false" customHeight="true" outlineLevel="0" collapsed="false">
      <c r="A270" s="74" t="n">
        <v>266</v>
      </c>
      <c r="B270" s="86"/>
      <c r="C270" s="87"/>
      <c r="D270" s="88"/>
      <c r="E270" s="89"/>
      <c r="F270" s="89"/>
      <c r="G270" s="90"/>
      <c r="H270" s="91"/>
      <c r="I270" s="92" t="str">
        <f aca="false">IF(OR(G270="",H270=""),"",G270*H270)</f>
        <v/>
      </c>
      <c r="J270" s="89"/>
      <c r="K270" s="93" t="str">
        <f aca="true">IF(AND(F270="",D270=""),"",IF(V270="Sí","✖️ Anulado",IF(O270&lt;&gt;"",IF(OR(Q270="Con incidencia",R270&lt;&gt;""),"⚠️ Llegó con incidencia",IF(AND(P270&lt;&gt;"",N(P270)&lt;N(G270)),"🧩 Llegó incompleto","✅ Recibido")),IF(C270="","🛒 Por pedir",IF(AND(N270&lt;&gt;"",TODAY()&gt;N(N270)),"🐢 Retrasado","📦 Pedido (esperando)")))))</f>
        <v/>
      </c>
      <c r="L270" s="94" t="str">
        <f aca="true">IF(OR(N270="",C270="",K270="",K270="✖️ Anulado"),"",IF(O270&lt;&gt;"",MAX(0,O270-N270),IF(TODAY()&gt;N270,TODAY()-N270,"")))</f>
        <v/>
      </c>
      <c r="M270" s="87"/>
      <c r="N270" s="95" t="str">
        <f aca="false">IF(M270&lt;&gt;"",M270,IF(OR(C270="",D270=""),"",IFERROR(IF(INDEX(Listas!$E$5:$E$60,MATCH(D270,Listas!$B$5:$B$60,0))="","",C270+INDEX(Listas!$E$5:$E$60,MATCH(D270,Listas!$B$5:$B$60,0))),"")))</f>
        <v/>
      </c>
      <c r="O270" s="87"/>
      <c r="P270" s="90"/>
      <c r="Q270" s="96"/>
      <c r="R270" s="89"/>
      <c r="S270" s="94" t="str">
        <f aca="false">IF(OR(C270="",O270="",K270="✖️ Anulado"),"",O270-C270)</f>
        <v/>
      </c>
      <c r="T270" s="87"/>
      <c r="U270" s="92" t="str">
        <f aca="false">IF(OR(O270="",K270="✖️ Anulado",AND(T270&lt;&gt;"",T270&lt;&gt;"No")),"",N(H270)*IF(P270="",N(G270),N(P270)))</f>
        <v/>
      </c>
      <c r="V270" s="96"/>
      <c r="W270" s="89"/>
    </row>
    <row r="271" customFormat="false" ht="21" hidden="false" customHeight="true" outlineLevel="0" collapsed="false">
      <c r="A271" s="74" t="n">
        <v>267</v>
      </c>
      <c r="B271" s="86"/>
      <c r="C271" s="87"/>
      <c r="D271" s="88"/>
      <c r="E271" s="89"/>
      <c r="F271" s="89"/>
      <c r="G271" s="90"/>
      <c r="H271" s="91"/>
      <c r="I271" s="92" t="str">
        <f aca="false">IF(OR(G271="",H271=""),"",G271*H271)</f>
        <v/>
      </c>
      <c r="J271" s="89"/>
      <c r="K271" s="93" t="str">
        <f aca="true">IF(AND(F271="",D271=""),"",IF(V271="Sí","✖️ Anulado",IF(O271&lt;&gt;"",IF(OR(Q271="Con incidencia",R271&lt;&gt;""),"⚠️ Llegó con incidencia",IF(AND(P271&lt;&gt;"",N(P271)&lt;N(G271)),"🧩 Llegó incompleto","✅ Recibido")),IF(C271="","🛒 Por pedir",IF(AND(N271&lt;&gt;"",TODAY()&gt;N(N271)),"🐢 Retrasado","📦 Pedido (esperando)")))))</f>
        <v/>
      </c>
      <c r="L271" s="94" t="str">
        <f aca="true">IF(OR(N271="",C271="",K271="",K271="✖️ Anulado"),"",IF(O271&lt;&gt;"",MAX(0,O271-N271),IF(TODAY()&gt;N271,TODAY()-N271,"")))</f>
        <v/>
      </c>
      <c r="M271" s="87"/>
      <c r="N271" s="95" t="str">
        <f aca="false">IF(M271&lt;&gt;"",M271,IF(OR(C271="",D271=""),"",IFERROR(IF(INDEX(Listas!$E$5:$E$60,MATCH(D271,Listas!$B$5:$B$60,0))="","",C271+INDEX(Listas!$E$5:$E$60,MATCH(D271,Listas!$B$5:$B$60,0))),"")))</f>
        <v/>
      </c>
      <c r="O271" s="87"/>
      <c r="P271" s="90"/>
      <c r="Q271" s="96"/>
      <c r="R271" s="89"/>
      <c r="S271" s="94" t="str">
        <f aca="false">IF(OR(C271="",O271="",K271="✖️ Anulado"),"",O271-C271)</f>
        <v/>
      </c>
      <c r="T271" s="87"/>
      <c r="U271" s="92" t="str">
        <f aca="false">IF(OR(O271="",K271="✖️ Anulado",AND(T271&lt;&gt;"",T271&lt;&gt;"No")),"",N(H271)*IF(P271="",N(G271),N(P271)))</f>
        <v/>
      </c>
      <c r="V271" s="96"/>
      <c r="W271" s="89"/>
    </row>
    <row r="272" customFormat="false" ht="21" hidden="false" customHeight="true" outlineLevel="0" collapsed="false">
      <c r="A272" s="74" t="n">
        <v>268</v>
      </c>
      <c r="B272" s="86"/>
      <c r="C272" s="87"/>
      <c r="D272" s="88"/>
      <c r="E272" s="89"/>
      <c r="F272" s="89"/>
      <c r="G272" s="90"/>
      <c r="H272" s="91"/>
      <c r="I272" s="92" t="str">
        <f aca="false">IF(OR(G272="",H272=""),"",G272*H272)</f>
        <v/>
      </c>
      <c r="J272" s="89"/>
      <c r="K272" s="93" t="str">
        <f aca="true">IF(AND(F272="",D272=""),"",IF(V272="Sí","✖️ Anulado",IF(O272&lt;&gt;"",IF(OR(Q272="Con incidencia",R272&lt;&gt;""),"⚠️ Llegó con incidencia",IF(AND(P272&lt;&gt;"",N(P272)&lt;N(G272)),"🧩 Llegó incompleto","✅ Recibido")),IF(C272="","🛒 Por pedir",IF(AND(N272&lt;&gt;"",TODAY()&gt;N(N272)),"🐢 Retrasado","📦 Pedido (esperando)")))))</f>
        <v/>
      </c>
      <c r="L272" s="94" t="str">
        <f aca="true">IF(OR(N272="",C272="",K272="",K272="✖️ Anulado"),"",IF(O272&lt;&gt;"",MAX(0,O272-N272),IF(TODAY()&gt;N272,TODAY()-N272,"")))</f>
        <v/>
      </c>
      <c r="M272" s="87"/>
      <c r="N272" s="95" t="str">
        <f aca="false">IF(M272&lt;&gt;"",M272,IF(OR(C272="",D272=""),"",IFERROR(IF(INDEX(Listas!$E$5:$E$60,MATCH(D272,Listas!$B$5:$B$60,0))="","",C272+INDEX(Listas!$E$5:$E$60,MATCH(D272,Listas!$B$5:$B$60,0))),"")))</f>
        <v/>
      </c>
      <c r="O272" s="87"/>
      <c r="P272" s="90"/>
      <c r="Q272" s="96"/>
      <c r="R272" s="89"/>
      <c r="S272" s="94" t="str">
        <f aca="false">IF(OR(C272="",O272="",K272="✖️ Anulado"),"",O272-C272)</f>
        <v/>
      </c>
      <c r="T272" s="87"/>
      <c r="U272" s="92" t="str">
        <f aca="false">IF(OR(O272="",K272="✖️ Anulado",AND(T272&lt;&gt;"",T272&lt;&gt;"No")),"",N(H272)*IF(P272="",N(G272),N(P272)))</f>
        <v/>
      </c>
      <c r="V272" s="96"/>
      <c r="W272" s="89"/>
    </row>
    <row r="273" customFormat="false" ht="21" hidden="false" customHeight="true" outlineLevel="0" collapsed="false">
      <c r="A273" s="74" t="n">
        <v>269</v>
      </c>
      <c r="B273" s="86"/>
      <c r="C273" s="87"/>
      <c r="D273" s="88"/>
      <c r="E273" s="89"/>
      <c r="F273" s="89"/>
      <c r="G273" s="90"/>
      <c r="H273" s="91"/>
      <c r="I273" s="92" t="str">
        <f aca="false">IF(OR(G273="",H273=""),"",G273*H273)</f>
        <v/>
      </c>
      <c r="J273" s="89"/>
      <c r="K273" s="93" t="str">
        <f aca="true">IF(AND(F273="",D273=""),"",IF(V273="Sí","✖️ Anulado",IF(O273&lt;&gt;"",IF(OR(Q273="Con incidencia",R273&lt;&gt;""),"⚠️ Llegó con incidencia",IF(AND(P273&lt;&gt;"",N(P273)&lt;N(G273)),"🧩 Llegó incompleto","✅ Recibido")),IF(C273="","🛒 Por pedir",IF(AND(N273&lt;&gt;"",TODAY()&gt;N(N273)),"🐢 Retrasado","📦 Pedido (esperando)")))))</f>
        <v/>
      </c>
      <c r="L273" s="94" t="str">
        <f aca="true">IF(OR(N273="",C273="",K273="",K273="✖️ Anulado"),"",IF(O273&lt;&gt;"",MAX(0,O273-N273),IF(TODAY()&gt;N273,TODAY()-N273,"")))</f>
        <v/>
      </c>
      <c r="M273" s="87"/>
      <c r="N273" s="95" t="str">
        <f aca="false">IF(M273&lt;&gt;"",M273,IF(OR(C273="",D273=""),"",IFERROR(IF(INDEX(Listas!$E$5:$E$60,MATCH(D273,Listas!$B$5:$B$60,0))="","",C273+INDEX(Listas!$E$5:$E$60,MATCH(D273,Listas!$B$5:$B$60,0))),"")))</f>
        <v/>
      </c>
      <c r="O273" s="87"/>
      <c r="P273" s="90"/>
      <c r="Q273" s="96"/>
      <c r="R273" s="89"/>
      <c r="S273" s="94" t="str">
        <f aca="false">IF(OR(C273="",O273="",K273="✖️ Anulado"),"",O273-C273)</f>
        <v/>
      </c>
      <c r="T273" s="87"/>
      <c r="U273" s="92" t="str">
        <f aca="false">IF(OR(O273="",K273="✖️ Anulado",AND(T273&lt;&gt;"",T273&lt;&gt;"No")),"",N(H273)*IF(P273="",N(G273),N(P273)))</f>
        <v/>
      </c>
      <c r="V273" s="96"/>
      <c r="W273" s="89"/>
    </row>
    <row r="274" customFormat="false" ht="21" hidden="false" customHeight="true" outlineLevel="0" collapsed="false">
      <c r="A274" s="74" t="n">
        <v>270</v>
      </c>
      <c r="B274" s="86"/>
      <c r="C274" s="87"/>
      <c r="D274" s="88"/>
      <c r="E274" s="89"/>
      <c r="F274" s="89"/>
      <c r="G274" s="90"/>
      <c r="H274" s="91"/>
      <c r="I274" s="92" t="str">
        <f aca="false">IF(OR(G274="",H274=""),"",G274*H274)</f>
        <v/>
      </c>
      <c r="J274" s="89"/>
      <c r="K274" s="93" t="str">
        <f aca="true">IF(AND(F274="",D274=""),"",IF(V274="Sí","✖️ Anulado",IF(O274&lt;&gt;"",IF(OR(Q274="Con incidencia",R274&lt;&gt;""),"⚠️ Llegó con incidencia",IF(AND(P274&lt;&gt;"",N(P274)&lt;N(G274)),"🧩 Llegó incompleto","✅ Recibido")),IF(C274="","🛒 Por pedir",IF(AND(N274&lt;&gt;"",TODAY()&gt;N(N274)),"🐢 Retrasado","📦 Pedido (esperando)")))))</f>
        <v/>
      </c>
      <c r="L274" s="94" t="str">
        <f aca="true">IF(OR(N274="",C274="",K274="",K274="✖️ Anulado"),"",IF(O274&lt;&gt;"",MAX(0,O274-N274),IF(TODAY()&gt;N274,TODAY()-N274,"")))</f>
        <v/>
      </c>
      <c r="M274" s="87"/>
      <c r="N274" s="95" t="str">
        <f aca="false">IF(M274&lt;&gt;"",M274,IF(OR(C274="",D274=""),"",IFERROR(IF(INDEX(Listas!$E$5:$E$60,MATCH(D274,Listas!$B$5:$B$60,0))="","",C274+INDEX(Listas!$E$5:$E$60,MATCH(D274,Listas!$B$5:$B$60,0))),"")))</f>
        <v/>
      </c>
      <c r="O274" s="87"/>
      <c r="P274" s="90"/>
      <c r="Q274" s="96"/>
      <c r="R274" s="89"/>
      <c r="S274" s="94" t="str">
        <f aca="false">IF(OR(C274="",O274="",K274="✖️ Anulado"),"",O274-C274)</f>
        <v/>
      </c>
      <c r="T274" s="87"/>
      <c r="U274" s="92" t="str">
        <f aca="false">IF(OR(O274="",K274="✖️ Anulado",AND(T274&lt;&gt;"",T274&lt;&gt;"No")),"",N(H274)*IF(P274="",N(G274),N(P274)))</f>
        <v/>
      </c>
      <c r="V274" s="96"/>
      <c r="W274" s="89"/>
    </row>
    <row r="275" customFormat="false" ht="21" hidden="false" customHeight="true" outlineLevel="0" collapsed="false">
      <c r="A275" s="74" t="n">
        <v>271</v>
      </c>
      <c r="B275" s="86"/>
      <c r="C275" s="87"/>
      <c r="D275" s="88"/>
      <c r="E275" s="89"/>
      <c r="F275" s="89"/>
      <c r="G275" s="90"/>
      <c r="H275" s="91"/>
      <c r="I275" s="92" t="str">
        <f aca="false">IF(OR(G275="",H275=""),"",G275*H275)</f>
        <v/>
      </c>
      <c r="J275" s="89"/>
      <c r="K275" s="93" t="str">
        <f aca="true">IF(AND(F275="",D275=""),"",IF(V275="Sí","✖️ Anulado",IF(O275&lt;&gt;"",IF(OR(Q275="Con incidencia",R275&lt;&gt;""),"⚠️ Llegó con incidencia",IF(AND(P275&lt;&gt;"",N(P275)&lt;N(G275)),"🧩 Llegó incompleto","✅ Recibido")),IF(C275="","🛒 Por pedir",IF(AND(N275&lt;&gt;"",TODAY()&gt;N(N275)),"🐢 Retrasado","📦 Pedido (esperando)")))))</f>
        <v/>
      </c>
      <c r="L275" s="94" t="str">
        <f aca="true">IF(OR(N275="",C275="",K275="",K275="✖️ Anulado"),"",IF(O275&lt;&gt;"",MAX(0,O275-N275),IF(TODAY()&gt;N275,TODAY()-N275,"")))</f>
        <v/>
      </c>
      <c r="M275" s="87"/>
      <c r="N275" s="95" t="str">
        <f aca="false">IF(M275&lt;&gt;"",M275,IF(OR(C275="",D275=""),"",IFERROR(IF(INDEX(Listas!$E$5:$E$60,MATCH(D275,Listas!$B$5:$B$60,0))="","",C275+INDEX(Listas!$E$5:$E$60,MATCH(D275,Listas!$B$5:$B$60,0))),"")))</f>
        <v/>
      </c>
      <c r="O275" s="87"/>
      <c r="P275" s="90"/>
      <c r="Q275" s="96"/>
      <c r="R275" s="89"/>
      <c r="S275" s="94" t="str">
        <f aca="false">IF(OR(C275="",O275="",K275="✖️ Anulado"),"",O275-C275)</f>
        <v/>
      </c>
      <c r="T275" s="87"/>
      <c r="U275" s="92" t="str">
        <f aca="false">IF(OR(O275="",K275="✖️ Anulado",AND(T275&lt;&gt;"",T275&lt;&gt;"No")),"",N(H275)*IF(P275="",N(G275),N(P275)))</f>
        <v/>
      </c>
      <c r="V275" s="96"/>
      <c r="W275" s="89"/>
    </row>
    <row r="276" customFormat="false" ht="21" hidden="false" customHeight="true" outlineLevel="0" collapsed="false">
      <c r="A276" s="74" t="n">
        <v>272</v>
      </c>
      <c r="B276" s="86"/>
      <c r="C276" s="87"/>
      <c r="D276" s="88"/>
      <c r="E276" s="89"/>
      <c r="F276" s="89"/>
      <c r="G276" s="90"/>
      <c r="H276" s="91"/>
      <c r="I276" s="92" t="str">
        <f aca="false">IF(OR(G276="",H276=""),"",G276*H276)</f>
        <v/>
      </c>
      <c r="J276" s="89"/>
      <c r="K276" s="93" t="str">
        <f aca="true">IF(AND(F276="",D276=""),"",IF(V276="Sí","✖️ Anulado",IF(O276&lt;&gt;"",IF(OR(Q276="Con incidencia",R276&lt;&gt;""),"⚠️ Llegó con incidencia",IF(AND(P276&lt;&gt;"",N(P276)&lt;N(G276)),"🧩 Llegó incompleto","✅ Recibido")),IF(C276="","🛒 Por pedir",IF(AND(N276&lt;&gt;"",TODAY()&gt;N(N276)),"🐢 Retrasado","📦 Pedido (esperando)")))))</f>
        <v/>
      </c>
      <c r="L276" s="94" t="str">
        <f aca="true">IF(OR(N276="",C276="",K276="",K276="✖️ Anulado"),"",IF(O276&lt;&gt;"",MAX(0,O276-N276),IF(TODAY()&gt;N276,TODAY()-N276,"")))</f>
        <v/>
      </c>
      <c r="M276" s="87"/>
      <c r="N276" s="95" t="str">
        <f aca="false">IF(M276&lt;&gt;"",M276,IF(OR(C276="",D276=""),"",IFERROR(IF(INDEX(Listas!$E$5:$E$60,MATCH(D276,Listas!$B$5:$B$60,0))="","",C276+INDEX(Listas!$E$5:$E$60,MATCH(D276,Listas!$B$5:$B$60,0))),"")))</f>
        <v/>
      </c>
      <c r="O276" s="87"/>
      <c r="P276" s="90"/>
      <c r="Q276" s="96"/>
      <c r="R276" s="89"/>
      <c r="S276" s="94" t="str">
        <f aca="false">IF(OR(C276="",O276="",K276="✖️ Anulado"),"",O276-C276)</f>
        <v/>
      </c>
      <c r="T276" s="87"/>
      <c r="U276" s="92" t="str">
        <f aca="false">IF(OR(O276="",K276="✖️ Anulado",AND(T276&lt;&gt;"",T276&lt;&gt;"No")),"",N(H276)*IF(P276="",N(G276),N(P276)))</f>
        <v/>
      </c>
      <c r="V276" s="96"/>
      <c r="W276" s="89"/>
    </row>
    <row r="277" customFormat="false" ht="21" hidden="false" customHeight="true" outlineLevel="0" collapsed="false">
      <c r="A277" s="74" t="n">
        <v>273</v>
      </c>
      <c r="B277" s="86"/>
      <c r="C277" s="87"/>
      <c r="D277" s="88"/>
      <c r="E277" s="89"/>
      <c r="F277" s="89"/>
      <c r="G277" s="90"/>
      <c r="H277" s="91"/>
      <c r="I277" s="92" t="str">
        <f aca="false">IF(OR(G277="",H277=""),"",G277*H277)</f>
        <v/>
      </c>
      <c r="J277" s="89"/>
      <c r="K277" s="93" t="str">
        <f aca="true">IF(AND(F277="",D277=""),"",IF(V277="Sí","✖️ Anulado",IF(O277&lt;&gt;"",IF(OR(Q277="Con incidencia",R277&lt;&gt;""),"⚠️ Llegó con incidencia",IF(AND(P277&lt;&gt;"",N(P277)&lt;N(G277)),"🧩 Llegó incompleto","✅ Recibido")),IF(C277="","🛒 Por pedir",IF(AND(N277&lt;&gt;"",TODAY()&gt;N(N277)),"🐢 Retrasado","📦 Pedido (esperando)")))))</f>
        <v/>
      </c>
      <c r="L277" s="94" t="str">
        <f aca="true">IF(OR(N277="",C277="",K277="",K277="✖️ Anulado"),"",IF(O277&lt;&gt;"",MAX(0,O277-N277),IF(TODAY()&gt;N277,TODAY()-N277,"")))</f>
        <v/>
      </c>
      <c r="M277" s="87"/>
      <c r="N277" s="95" t="str">
        <f aca="false">IF(M277&lt;&gt;"",M277,IF(OR(C277="",D277=""),"",IFERROR(IF(INDEX(Listas!$E$5:$E$60,MATCH(D277,Listas!$B$5:$B$60,0))="","",C277+INDEX(Listas!$E$5:$E$60,MATCH(D277,Listas!$B$5:$B$60,0))),"")))</f>
        <v/>
      </c>
      <c r="O277" s="87"/>
      <c r="P277" s="90"/>
      <c r="Q277" s="96"/>
      <c r="R277" s="89"/>
      <c r="S277" s="94" t="str">
        <f aca="false">IF(OR(C277="",O277="",K277="✖️ Anulado"),"",O277-C277)</f>
        <v/>
      </c>
      <c r="T277" s="87"/>
      <c r="U277" s="92" t="str">
        <f aca="false">IF(OR(O277="",K277="✖️ Anulado",AND(T277&lt;&gt;"",T277&lt;&gt;"No")),"",N(H277)*IF(P277="",N(G277),N(P277)))</f>
        <v/>
      </c>
      <c r="V277" s="96"/>
      <c r="W277" s="89"/>
    </row>
    <row r="278" customFormat="false" ht="21" hidden="false" customHeight="true" outlineLevel="0" collapsed="false">
      <c r="A278" s="74" t="n">
        <v>274</v>
      </c>
      <c r="B278" s="86"/>
      <c r="C278" s="87"/>
      <c r="D278" s="88"/>
      <c r="E278" s="89"/>
      <c r="F278" s="89"/>
      <c r="G278" s="90"/>
      <c r="H278" s="91"/>
      <c r="I278" s="92" t="str">
        <f aca="false">IF(OR(G278="",H278=""),"",G278*H278)</f>
        <v/>
      </c>
      <c r="J278" s="89"/>
      <c r="K278" s="93" t="str">
        <f aca="true">IF(AND(F278="",D278=""),"",IF(V278="Sí","✖️ Anulado",IF(O278&lt;&gt;"",IF(OR(Q278="Con incidencia",R278&lt;&gt;""),"⚠️ Llegó con incidencia",IF(AND(P278&lt;&gt;"",N(P278)&lt;N(G278)),"🧩 Llegó incompleto","✅ Recibido")),IF(C278="","🛒 Por pedir",IF(AND(N278&lt;&gt;"",TODAY()&gt;N(N278)),"🐢 Retrasado","📦 Pedido (esperando)")))))</f>
        <v/>
      </c>
      <c r="L278" s="94" t="str">
        <f aca="true">IF(OR(N278="",C278="",K278="",K278="✖️ Anulado"),"",IF(O278&lt;&gt;"",MAX(0,O278-N278),IF(TODAY()&gt;N278,TODAY()-N278,"")))</f>
        <v/>
      </c>
      <c r="M278" s="87"/>
      <c r="N278" s="95" t="str">
        <f aca="false">IF(M278&lt;&gt;"",M278,IF(OR(C278="",D278=""),"",IFERROR(IF(INDEX(Listas!$E$5:$E$60,MATCH(D278,Listas!$B$5:$B$60,0))="","",C278+INDEX(Listas!$E$5:$E$60,MATCH(D278,Listas!$B$5:$B$60,0))),"")))</f>
        <v/>
      </c>
      <c r="O278" s="87"/>
      <c r="P278" s="90"/>
      <c r="Q278" s="96"/>
      <c r="R278" s="89"/>
      <c r="S278" s="94" t="str">
        <f aca="false">IF(OR(C278="",O278="",K278="✖️ Anulado"),"",O278-C278)</f>
        <v/>
      </c>
      <c r="T278" s="87"/>
      <c r="U278" s="92" t="str">
        <f aca="false">IF(OR(O278="",K278="✖️ Anulado",AND(T278&lt;&gt;"",T278&lt;&gt;"No")),"",N(H278)*IF(P278="",N(G278),N(P278)))</f>
        <v/>
      </c>
      <c r="V278" s="96"/>
      <c r="W278" s="89"/>
    </row>
    <row r="279" customFormat="false" ht="21" hidden="false" customHeight="true" outlineLevel="0" collapsed="false">
      <c r="A279" s="74" t="n">
        <v>275</v>
      </c>
      <c r="B279" s="86"/>
      <c r="C279" s="87"/>
      <c r="D279" s="88"/>
      <c r="E279" s="89"/>
      <c r="F279" s="89"/>
      <c r="G279" s="90"/>
      <c r="H279" s="91"/>
      <c r="I279" s="92" t="str">
        <f aca="false">IF(OR(G279="",H279=""),"",G279*H279)</f>
        <v/>
      </c>
      <c r="J279" s="89"/>
      <c r="K279" s="93" t="str">
        <f aca="true">IF(AND(F279="",D279=""),"",IF(V279="Sí","✖️ Anulado",IF(O279&lt;&gt;"",IF(OR(Q279="Con incidencia",R279&lt;&gt;""),"⚠️ Llegó con incidencia",IF(AND(P279&lt;&gt;"",N(P279)&lt;N(G279)),"🧩 Llegó incompleto","✅ Recibido")),IF(C279="","🛒 Por pedir",IF(AND(N279&lt;&gt;"",TODAY()&gt;N(N279)),"🐢 Retrasado","📦 Pedido (esperando)")))))</f>
        <v/>
      </c>
      <c r="L279" s="94" t="str">
        <f aca="true">IF(OR(N279="",C279="",K279="",K279="✖️ Anulado"),"",IF(O279&lt;&gt;"",MAX(0,O279-N279),IF(TODAY()&gt;N279,TODAY()-N279,"")))</f>
        <v/>
      </c>
      <c r="M279" s="87"/>
      <c r="N279" s="95" t="str">
        <f aca="false">IF(M279&lt;&gt;"",M279,IF(OR(C279="",D279=""),"",IFERROR(IF(INDEX(Listas!$E$5:$E$60,MATCH(D279,Listas!$B$5:$B$60,0))="","",C279+INDEX(Listas!$E$5:$E$60,MATCH(D279,Listas!$B$5:$B$60,0))),"")))</f>
        <v/>
      </c>
      <c r="O279" s="87"/>
      <c r="P279" s="90"/>
      <c r="Q279" s="96"/>
      <c r="R279" s="89"/>
      <c r="S279" s="94" t="str">
        <f aca="false">IF(OR(C279="",O279="",K279="✖️ Anulado"),"",O279-C279)</f>
        <v/>
      </c>
      <c r="T279" s="87"/>
      <c r="U279" s="92" t="str">
        <f aca="false">IF(OR(O279="",K279="✖️ Anulado",AND(T279&lt;&gt;"",T279&lt;&gt;"No")),"",N(H279)*IF(P279="",N(G279),N(P279)))</f>
        <v/>
      </c>
      <c r="V279" s="96"/>
      <c r="W279" s="89"/>
    </row>
    <row r="280" customFormat="false" ht="21" hidden="false" customHeight="true" outlineLevel="0" collapsed="false">
      <c r="A280" s="74" t="n">
        <v>276</v>
      </c>
      <c r="B280" s="86"/>
      <c r="C280" s="87"/>
      <c r="D280" s="88"/>
      <c r="E280" s="89"/>
      <c r="F280" s="89"/>
      <c r="G280" s="90"/>
      <c r="H280" s="91"/>
      <c r="I280" s="92" t="str">
        <f aca="false">IF(OR(G280="",H280=""),"",G280*H280)</f>
        <v/>
      </c>
      <c r="J280" s="89"/>
      <c r="K280" s="93" t="str">
        <f aca="true">IF(AND(F280="",D280=""),"",IF(V280="Sí","✖️ Anulado",IF(O280&lt;&gt;"",IF(OR(Q280="Con incidencia",R280&lt;&gt;""),"⚠️ Llegó con incidencia",IF(AND(P280&lt;&gt;"",N(P280)&lt;N(G280)),"🧩 Llegó incompleto","✅ Recibido")),IF(C280="","🛒 Por pedir",IF(AND(N280&lt;&gt;"",TODAY()&gt;N(N280)),"🐢 Retrasado","📦 Pedido (esperando)")))))</f>
        <v/>
      </c>
      <c r="L280" s="94" t="str">
        <f aca="true">IF(OR(N280="",C280="",K280="",K280="✖️ Anulado"),"",IF(O280&lt;&gt;"",MAX(0,O280-N280),IF(TODAY()&gt;N280,TODAY()-N280,"")))</f>
        <v/>
      </c>
      <c r="M280" s="87"/>
      <c r="N280" s="95" t="str">
        <f aca="false">IF(M280&lt;&gt;"",M280,IF(OR(C280="",D280=""),"",IFERROR(IF(INDEX(Listas!$E$5:$E$60,MATCH(D280,Listas!$B$5:$B$60,0))="","",C280+INDEX(Listas!$E$5:$E$60,MATCH(D280,Listas!$B$5:$B$60,0))),"")))</f>
        <v/>
      </c>
      <c r="O280" s="87"/>
      <c r="P280" s="90"/>
      <c r="Q280" s="96"/>
      <c r="R280" s="89"/>
      <c r="S280" s="94" t="str">
        <f aca="false">IF(OR(C280="",O280="",K280="✖️ Anulado"),"",O280-C280)</f>
        <v/>
      </c>
      <c r="T280" s="87"/>
      <c r="U280" s="92" t="str">
        <f aca="false">IF(OR(O280="",K280="✖️ Anulado",AND(T280&lt;&gt;"",T280&lt;&gt;"No")),"",N(H280)*IF(P280="",N(G280),N(P280)))</f>
        <v/>
      </c>
      <c r="V280" s="96"/>
      <c r="W280" s="89"/>
    </row>
    <row r="281" customFormat="false" ht="21" hidden="false" customHeight="true" outlineLevel="0" collapsed="false">
      <c r="A281" s="74" t="n">
        <v>277</v>
      </c>
      <c r="B281" s="86"/>
      <c r="C281" s="87"/>
      <c r="D281" s="88"/>
      <c r="E281" s="89"/>
      <c r="F281" s="89"/>
      <c r="G281" s="90"/>
      <c r="H281" s="91"/>
      <c r="I281" s="92" t="str">
        <f aca="false">IF(OR(G281="",H281=""),"",G281*H281)</f>
        <v/>
      </c>
      <c r="J281" s="89"/>
      <c r="K281" s="93" t="str">
        <f aca="true">IF(AND(F281="",D281=""),"",IF(V281="Sí","✖️ Anulado",IF(O281&lt;&gt;"",IF(OR(Q281="Con incidencia",R281&lt;&gt;""),"⚠️ Llegó con incidencia",IF(AND(P281&lt;&gt;"",N(P281)&lt;N(G281)),"🧩 Llegó incompleto","✅ Recibido")),IF(C281="","🛒 Por pedir",IF(AND(N281&lt;&gt;"",TODAY()&gt;N(N281)),"🐢 Retrasado","📦 Pedido (esperando)")))))</f>
        <v/>
      </c>
      <c r="L281" s="94" t="str">
        <f aca="true">IF(OR(N281="",C281="",K281="",K281="✖️ Anulado"),"",IF(O281&lt;&gt;"",MAX(0,O281-N281),IF(TODAY()&gt;N281,TODAY()-N281,"")))</f>
        <v/>
      </c>
      <c r="M281" s="87"/>
      <c r="N281" s="95" t="str">
        <f aca="false">IF(M281&lt;&gt;"",M281,IF(OR(C281="",D281=""),"",IFERROR(IF(INDEX(Listas!$E$5:$E$60,MATCH(D281,Listas!$B$5:$B$60,0))="","",C281+INDEX(Listas!$E$5:$E$60,MATCH(D281,Listas!$B$5:$B$60,0))),"")))</f>
        <v/>
      </c>
      <c r="O281" s="87"/>
      <c r="P281" s="90"/>
      <c r="Q281" s="96"/>
      <c r="R281" s="89"/>
      <c r="S281" s="94" t="str">
        <f aca="false">IF(OR(C281="",O281="",K281="✖️ Anulado"),"",O281-C281)</f>
        <v/>
      </c>
      <c r="T281" s="87"/>
      <c r="U281" s="92" t="str">
        <f aca="false">IF(OR(O281="",K281="✖️ Anulado",AND(T281&lt;&gt;"",T281&lt;&gt;"No")),"",N(H281)*IF(P281="",N(G281),N(P281)))</f>
        <v/>
      </c>
      <c r="V281" s="96"/>
      <c r="W281" s="89"/>
    </row>
    <row r="282" customFormat="false" ht="21" hidden="false" customHeight="true" outlineLevel="0" collapsed="false">
      <c r="A282" s="74" t="n">
        <v>278</v>
      </c>
      <c r="B282" s="86"/>
      <c r="C282" s="87"/>
      <c r="D282" s="88"/>
      <c r="E282" s="89"/>
      <c r="F282" s="89"/>
      <c r="G282" s="90"/>
      <c r="H282" s="91"/>
      <c r="I282" s="92" t="str">
        <f aca="false">IF(OR(G282="",H282=""),"",G282*H282)</f>
        <v/>
      </c>
      <c r="J282" s="89"/>
      <c r="K282" s="93" t="str">
        <f aca="true">IF(AND(F282="",D282=""),"",IF(V282="Sí","✖️ Anulado",IF(O282&lt;&gt;"",IF(OR(Q282="Con incidencia",R282&lt;&gt;""),"⚠️ Llegó con incidencia",IF(AND(P282&lt;&gt;"",N(P282)&lt;N(G282)),"🧩 Llegó incompleto","✅ Recibido")),IF(C282="","🛒 Por pedir",IF(AND(N282&lt;&gt;"",TODAY()&gt;N(N282)),"🐢 Retrasado","📦 Pedido (esperando)")))))</f>
        <v/>
      </c>
      <c r="L282" s="94" t="str">
        <f aca="true">IF(OR(N282="",C282="",K282="",K282="✖️ Anulado"),"",IF(O282&lt;&gt;"",MAX(0,O282-N282),IF(TODAY()&gt;N282,TODAY()-N282,"")))</f>
        <v/>
      </c>
      <c r="M282" s="87"/>
      <c r="N282" s="95" t="str">
        <f aca="false">IF(M282&lt;&gt;"",M282,IF(OR(C282="",D282=""),"",IFERROR(IF(INDEX(Listas!$E$5:$E$60,MATCH(D282,Listas!$B$5:$B$60,0))="","",C282+INDEX(Listas!$E$5:$E$60,MATCH(D282,Listas!$B$5:$B$60,0))),"")))</f>
        <v/>
      </c>
      <c r="O282" s="87"/>
      <c r="P282" s="90"/>
      <c r="Q282" s="96"/>
      <c r="R282" s="89"/>
      <c r="S282" s="94" t="str">
        <f aca="false">IF(OR(C282="",O282="",K282="✖️ Anulado"),"",O282-C282)</f>
        <v/>
      </c>
      <c r="T282" s="87"/>
      <c r="U282" s="92" t="str">
        <f aca="false">IF(OR(O282="",K282="✖️ Anulado",AND(T282&lt;&gt;"",T282&lt;&gt;"No")),"",N(H282)*IF(P282="",N(G282),N(P282)))</f>
        <v/>
      </c>
      <c r="V282" s="96"/>
      <c r="W282" s="89"/>
    </row>
    <row r="283" customFormat="false" ht="21" hidden="false" customHeight="true" outlineLevel="0" collapsed="false">
      <c r="A283" s="74" t="n">
        <v>279</v>
      </c>
      <c r="B283" s="86"/>
      <c r="C283" s="87"/>
      <c r="D283" s="88"/>
      <c r="E283" s="89"/>
      <c r="F283" s="89"/>
      <c r="G283" s="90"/>
      <c r="H283" s="91"/>
      <c r="I283" s="92" t="str">
        <f aca="false">IF(OR(G283="",H283=""),"",G283*H283)</f>
        <v/>
      </c>
      <c r="J283" s="89"/>
      <c r="K283" s="93" t="str">
        <f aca="true">IF(AND(F283="",D283=""),"",IF(V283="Sí","✖️ Anulado",IF(O283&lt;&gt;"",IF(OR(Q283="Con incidencia",R283&lt;&gt;""),"⚠️ Llegó con incidencia",IF(AND(P283&lt;&gt;"",N(P283)&lt;N(G283)),"🧩 Llegó incompleto","✅ Recibido")),IF(C283="","🛒 Por pedir",IF(AND(N283&lt;&gt;"",TODAY()&gt;N(N283)),"🐢 Retrasado","📦 Pedido (esperando)")))))</f>
        <v/>
      </c>
      <c r="L283" s="94" t="str">
        <f aca="true">IF(OR(N283="",C283="",K283="",K283="✖️ Anulado"),"",IF(O283&lt;&gt;"",MAX(0,O283-N283),IF(TODAY()&gt;N283,TODAY()-N283,"")))</f>
        <v/>
      </c>
      <c r="M283" s="87"/>
      <c r="N283" s="95" t="str">
        <f aca="false">IF(M283&lt;&gt;"",M283,IF(OR(C283="",D283=""),"",IFERROR(IF(INDEX(Listas!$E$5:$E$60,MATCH(D283,Listas!$B$5:$B$60,0))="","",C283+INDEX(Listas!$E$5:$E$60,MATCH(D283,Listas!$B$5:$B$60,0))),"")))</f>
        <v/>
      </c>
      <c r="O283" s="87"/>
      <c r="P283" s="90"/>
      <c r="Q283" s="96"/>
      <c r="R283" s="89"/>
      <c r="S283" s="94" t="str">
        <f aca="false">IF(OR(C283="",O283="",K283="✖️ Anulado"),"",O283-C283)</f>
        <v/>
      </c>
      <c r="T283" s="87"/>
      <c r="U283" s="92" t="str">
        <f aca="false">IF(OR(O283="",K283="✖️ Anulado",AND(T283&lt;&gt;"",T283&lt;&gt;"No")),"",N(H283)*IF(P283="",N(G283),N(P283)))</f>
        <v/>
      </c>
      <c r="V283" s="96"/>
      <c r="W283" s="89"/>
    </row>
    <row r="284" customFormat="false" ht="21" hidden="false" customHeight="true" outlineLevel="0" collapsed="false">
      <c r="A284" s="74" t="n">
        <v>280</v>
      </c>
      <c r="B284" s="86"/>
      <c r="C284" s="87"/>
      <c r="D284" s="88"/>
      <c r="E284" s="89"/>
      <c r="F284" s="89"/>
      <c r="G284" s="90"/>
      <c r="H284" s="91"/>
      <c r="I284" s="92" t="str">
        <f aca="false">IF(OR(G284="",H284=""),"",G284*H284)</f>
        <v/>
      </c>
      <c r="J284" s="89"/>
      <c r="K284" s="93" t="str">
        <f aca="true">IF(AND(F284="",D284=""),"",IF(V284="Sí","✖️ Anulado",IF(O284&lt;&gt;"",IF(OR(Q284="Con incidencia",R284&lt;&gt;""),"⚠️ Llegó con incidencia",IF(AND(P284&lt;&gt;"",N(P284)&lt;N(G284)),"🧩 Llegó incompleto","✅ Recibido")),IF(C284="","🛒 Por pedir",IF(AND(N284&lt;&gt;"",TODAY()&gt;N(N284)),"🐢 Retrasado","📦 Pedido (esperando)")))))</f>
        <v/>
      </c>
      <c r="L284" s="94" t="str">
        <f aca="true">IF(OR(N284="",C284="",K284="",K284="✖️ Anulado"),"",IF(O284&lt;&gt;"",MAX(0,O284-N284),IF(TODAY()&gt;N284,TODAY()-N284,"")))</f>
        <v/>
      </c>
      <c r="M284" s="87"/>
      <c r="N284" s="95" t="str">
        <f aca="false">IF(M284&lt;&gt;"",M284,IF(OR(C284="",D284=""),"",IFERROR(IF(INDEX(Listas!$E$5:$E$60,MATCH(D284,Listas!$B$5:$B$60,0))="","",C284+INDEX(Listas!$E$5:$E$60,MATCH(D284,Listas!$B$5:$B$60,0))),"")))</f>
        <v/>
      </c>
      <c r="O284" s="87"/>
      <c r="P284" s="90"/>
      <c r="Q284" s="96"/>
      <c r="R284" s="89"/>
      <c r="S284" s="94" t="str">
        <f aca="false">IF(OR(C284="",O284="",K284="✖️ Anulado"),"",O284-C284)</f>
        <v/>
      </c>
      <c r="T284" s="87"/>
      <c r="U284" s="92" t="str">
        <f aca="false">IF(OR(O284="",K284="✖️ Anulado",AND(T284&lt;&gt;"",T284&lt;&gt;"No")),"",N(H284)*IF(P284="",N(G284),N(P284)))</f>
        <v/>
      </c>
      <c r="V284" s="96"/>
      <c r="W284" s="89"/>
    </row>
    <row r="285" customFormat="false" ht="21" hidden="false" customHeight="true" outlineLevel="0" collapsed="false">
      <c r="A285" s="74" t="n">
        <v>281</v>
      </c>
      <c r="B285" s="86"/>
      <c r="C285" s="87"/>
      <c r="D285" s="88"/>
      <c r="E285" s="89"/>
      <c r="F285" s="89"/>
      <c r="G285" s="90"/>
      <c r="H285" s="91"/>
      <c r="I285" s="92" t="str">
        <f aca="false">IF(OR(G285="",H285=""),"",G285*H285)</f>
        <v/>
      </c>
      <c r="J285" s="89"/>
      <c r="K285" s="93" t="str">
        <f aca="true">IF(AND(F285="",D285=""),"",IF(V285="Sí","✖️ Anulado",IF(O285&lt;&gt;"",IF(OR(Q285="Con incidencia",R285&lt;&gt;""),"⚠️ Llegó con incidencia",IF(AND(P285&lt;&gt;"",N(P285)&lt;N(G285)),"🧩 Llegó incompleto","✅ Recibido")),IF(C285="","🛒 Por pedir",IF(AND(N285&lt;&gt;"",TODAY()&gt;N(N285)),"🐢 Retrasado","📦 Pedido (esperando)")))))</f>
        <v/>
      </c>
      <c r="L285" s="94" t="str">
        <f aca="true">IF(OR(N285="",C285="",K285="",K285="✖️ Anulado"),"",IF(O285&lt;&gt;"",MAX(0,O285-N285),IF(TODAY()&gt;N285,TODAY()-N285,"")))</f>
        <v/>
      </c>
      <c r="M285" s="87"/>
      <c r="N285" s="95" t="str">
        <f aca="false">IF(M285&lt;&gt;"",M285,IF(OR(C285="",D285=""),"",IFERROR(IF(INDEX(Listas!$E$5:$E$60,MATCH(D285,Listas!$B$5:$B$60,0))="","",C285+INDEX(Listas!$E$5:$E$60,MATCH(D285,Listas!$B$5:$B$60,0))),"")))</f>
        <v/>
      </c>
      <c r="O285" s="87"/>
      <c r="P285" s="90"/>
      <c r="Q285" s="96"/>
      <c r="R285" s="89"/>
      <c r="S285" s="94" t="str">
        <f aca="false">IF(OR(C285="",O285="",K285="✖️ Anulado"),"",O285-C285)</f>
        <v/>
      </c>
      <c r="T285" s="87"/>
      <c r="U285" s="92" t="str">
        <f aca="false">IF(OR(O285="",K285="✖️ Anulado",AND(T285&lt;&gt;"",T285&lt;&gt;"No")),"",N(H285)*IF(P285="",N(G285),N(P285)))</f>
        <v/>
      </c>
      <c r="V285" s="96"/>
      <c r="W285" s="89"/>
    </row>
    <row r="286" customFormat="false" ht="21" hidden="false" customHeight="true" outlineLevel="0" collapsed="false">
      <c r="A286" s="74" t="n">
        <v>282</v>
      </c>
      <c r="B286" s="86"/>
      <c r="C286" s="87"/>
      <c r="D286" s="88"/>
      <c r="E286" s="89"/>
      <c r="F286" s="89"/>
      <c r="G286" s="90"/>
      <c r="H286" s="91"/>
      <c r="I286" s="92" t="str">
        <f aca="false">IF(OR(G286="",H286=""),"",G286*H286)</f>
        <v/>
      </c>
      <c r="J286" s="89"/>
      <c r="K286" s="93" t="str">
        <f aca="true">IF(AND(F286="",D286=""),"",IF(V286="Sí","✖️ Anulado",IF(O286&lt;&gt;"",IF(OR(Q286="Con incidencia",R286&lt;&gt;""),"⚠️ Llegó con incidencia",IF(AND(P286&lt;&gt;"",N(P286)&lt;N(G286)),"🧩 Llegó incompleto","✅ Recibido")),IF(C286="","🛒 Por pedir",IF(AND(N286&lt;&gt;"",TODAY()&gt;N(N286)),"🐢 Retrasado","📦 Pedido (esperando)")))))</f>
        <v/>
      </c>
      <c r="L286" s="94" t="str">
        <f aca="true">IF(OR(N286="",C286="",K286="",K286="✖️ Anulado"),"",IF(O286&lt;&gt;"",MAX(0,O286-N286),IF(TODAY()&gt;N286,TODAY()-N286,"")))</f>
        <v/>
      </c>
      <c r="M286" s="87"/>
      <c r="N286" s="95" t="str">
        <f aca="false">IF(M286&lt;&gt;"",M286,IF(OR(C286="",D286=""),"",IFERROR(IF(INDEX(Listas!$E$5:$E$60,MATCH(D286,Listas!$B$5:$B$60,0))="","",C286+INDEX(Listas!$E$5:$E$60,MATCH(D286,Listas!$B$5:$B$60,0))),"")))</f>
        <v/>
      </c>
      <c r="O286" s="87"/>
      <c r="P286" s="90"/>
      <c r="Q286" s="96"/>
      <c r="R286" s="89"/>
      <c r="S286" s="94" t="str">
        <f aca="false">IF(OR(C286="",O286="",K286="✖️ Anulado"),"",O286-C286)</f>
        <v/>
      </c>
      <c r="T286" s="87"/>
      <c r="U286" s="92" t="str">
        <f aca="false">IF(OR(O286="",K286="✖️ Anulado",AND(T286&lt;&gt;"",T286&lt;&gt;"No")),"",N(H286)*IF(P286="",N(G286),N(P286)))</f>
        <v/>
      </c>
      <c r="V286" s="96"/>
      <c r="W286" s="89"/>
    </row>
    <row r="287" customFormat="false" ht="21" hidden="false" customHeight="true" outlineLevel="0" collapsed="false">
      <c r="A287" s="74" t="n">
        <v>283</v>
      </c>
      <c r="B287" s="86"/>
      <c r="C287" s="87"/>
      <c r="D287" s="88"/>
      <c r="E287" s="89"/>
      <c r="F287" s="89"/>
      <c r="G287" s="90"/>
      <c r="H287" s="91"/>
      <c r="I287" s="92" t="str">
        <f aca="false">IF(OR(G287="",H287=""),"",G287*H287)</f>
        <v/>
      </c>
      <c r="J287" s="89"/>
      <c r="K287" s="93" t="str">
        <f aca="true">IF(AND(F287="",D287=""),"",IF(V287="Sí","✖️ Anulado",IF(O287&lt;&gt;"",IF(OR(Q287="Con incidencia",R287&lt;&gt;""),"⚠️ Llegó con incidencia",IF(AND(P287&lt;&gt;"",N(P287)&lt;N(G287)),"🧩 Llegó incompleto","✅ Recibido")),IF(C287="","🛒 Por pedir",IF(AND(N287&lt;&gt;"",TODAY()&gt;N(N287)),"🐢 Retrasado","📦 Pedido (esperando)")))))</f>
        <v/>
      </c>
      <c r="L287" s="94" t="str">
        <f aca="true">IF(OR(N287="",C287="",K287="",K287="✖️ Anulado"),"",IF(O287&lt;&gt;"",MAX(0,O287-N287),IF(TODAY()&gt;N287,TODAY()-N287,"")))</f>
        <v/>
      </c>
      <c r="M287" s="87"/>
      <c r="N287" s="95" t="str">
        <f aca="false">IF(M287&lt;&gt;"",M287,IF(OR(C287="",D287=""),"",IFERROR(IF(INDEX(Listas!$E$5:$E$60,MATCH(D287,Listas!$B$5:$B$60,0))="","",C287+INDEX(Listas!$E$5:$E$60,MATCH(D287,Listas!$B$5:$B$60,0))),"")))</f>
        <v/>
      </c>
      <c r="O287" s="87"/>
      <c r="P287" s="90"/>
      <c r="Q287" s="96"/>
      <c r="R287" s="89"/>
      <c r="S287" s="94" t="str">
        <f aca="false">IF(OR(C287="",O287="",K287="✖️ Anulado"),"",O287-C287)</f>
        <v/>
      </c>
      <c r="T287" s="87"/>
      <c r="U287" s="92" t="str">
        <f aca="false">IF(OR(O287="",K287="✖️ Anulado",AND(T287&lt;&gt;"",T287&lt;&gt;"No")),"",N(H287)*IF(P287="",N(G287),N(P287)))</f>
        <v/>
      </c>
      <c r="V287" s="96"/>
      <c r="W287" s="89"/>
    </row>
    <row r="288" customFormat="false" ht="21" hidden="false" customHeight="true" outlineLevel="0" collapsed="false">
      <c r="A288" s="74" t="n">
        <v>284</v>
      </c>
      <c r="B288" s="86"/>
      <c r="C288" s="87"/>
      <c r="D288" s="88"/>
      <c r="E288" s="89"/>
      <c r="F288" s="89"/>
      <c r="G288" s="90"/>
      <c r="H288" s="91"/>
      <c r="I288" s="92" t="str">
        <f aca="false">IF(OR(G288="",H288=""),"",G288*H288)</f>
        <v/>
      </c>
      <c r="J288" s="89"/>
      <c r="K288" s="93" t="str">
        <f aca="true">IF(AND(F288="",D288=""),"",IF(V288="Sí","✖️ Anulado",IF(O288&lt;&gt;"",IF(OR(Q288="Con incidencia",R288&lt;&gt;""),"⚠️ Llegó con incidencia",IF(AND(P288&lt;&gt;"",N(P288)&lt;N(G288)),"🧩 Llegó incompleto","✅ Recibido")),IF(C288="","🛒 Por pedir",IF(AND(N288&lt;&gt;"",TODAY()&gt;N(N288)),"🐢 Retrasado","📦 Pedido (esperando)")))))</f>
        <v/>
      </c>
      <c r="L288" s="94" t="str">
        <f aca="true">IF(OR(N288="",C288="",K288="",K288="✖️ Anulado"),"",IF(O288&lt;&gt;"",MAX(0,O288-N288),IF(TODAY()&gt;N288,TODAY()-N288,"")))</f>
        <v/>
      </c>
      <c r="M288" s="87"/>
      <c r="N288" s="95" t="str">
        <f aca="false">IF(M288&lt;&gt;"",M288,IF(OR(C288="",D288=""),"",IFERROR(IF(INDEX(Listas!$E$5:$E$60,MATCH(D288,Listas!$B$5:$B$60,0))="","",C288+INDEX(Listas!$E$5:$E$60,MATCH(D288,Listas!$B$5:$B$60,0))),"")))</f>
        <v/>
      </c>
      <c r="O288" s="87"/>
      <c r="P288" s="90"/>
      <c r="Q288" s="96"/>
      <c r="R288" s="89"/>
      <c r="S288" s="94" t="str">
        <f aca="false">IF(OR(C288="",O288="",K288="✖️ Anulado"),"",O288-C288)</f>
        <v/>
      </c>
      <c r="T288" s="87"/>
      <c r="U288" s="92" t="str">
        <f aca="false">IF(OR(O288="",K288="✖️ Anulado",AND(T288&lt;&gt;"",T288&lt;&gt;"No")),"",N(H288)*IF(P288="",N(G288),N(P288)))</f>
        <v/>
      </c>
      <c r="V288" s="96"/>
      <c r="W288" s="89"/>
    </row>
    <row r="289" customFormat="false" ht="21" hidden="false" customHeight="true" outlineLevel="0" collapsed="false">
      <c r="A289" s="74" t="n">
        <v>285</v>
      </c>
      <c r="B289" s="86"/>
      <c r="C289" s="87"/>
      <c r="D289" s="88"/>
      <c r="E289" s="89"/>
      <c r="F289" s="89"/>
      <c r="G289" s="90"/>
      <c r="H289" s="91"/>
      <c r="I289" s="92" t="str">
        <f aca="false">IF(OR(G289="",H289=""),"",G289*H289)</f>
        <v/>
      </c>
      <c r="J289" s="89"/>
      <c r="K289" s="93" t="str">
        <f aca="true">IF(AND(F289="",D289=""),"",IF(V289="Sí","✖️ Anulado",IF(O289&lt;&gt;"",IF(OR(Q289="Con incidencia",R289&lt;&gt;""),"⚠️ Llegó con incidencia",IF(AND(P289&lt;&gt;"",N(P289)&lt;N(G289)),"🧩 Llegó incompleto","✅ Recibido")),IF(C289="","🛒 Por pedir",IF(AND(N289&lt;&gt;"",TODAY()&gt;N(N289)),"🐢 Retrasado","📦 Pedido (esperando)")))))</f>
        <v/>
      </c>
      <c r="L289" s="94" t="str">
        <f aca="true">IF(OR(N289="",C289="",K289="",K289="✖️ Anulado"),"",IF(O289&lt;&gt;"",MAX(0,O289-N289),IF(TODAY()&gt;N289,TODAY()-N289,"")))</f>
        <v/>
      </c>
      <c r="M289" s="87"/>
      <c r="N289" s="95" t="str">
        <f aca="false">IF(M289&lt;&gt;"",M289,IF(OR(C289="",D289=""),"",IFERROR(IF(INDEX(Listas!$E$5:$E$60,MATCH(D289,Listas!$B$5:$B$60,0))="","",C289+INDEX(Listas!$E$5:$E$60,MATCH(D289,Listas!$B$5:$B$60,0))),"")))</f>
        <v/>
      </c>
      <c r="O289" s="87"/>
      <c r="P289" s="90"/>
      <c r="Q289" s="96"/>
      <c r="R289" s="89"/>
      <c r="S289" s="94" t="str">
        <f aca="false">IF(OR(C289="",O289="",K289="✖️ Anulado"),"",O289-C289)</f>
        <v/>
      </c>
      <c r="T289" s="87"/>
      <c r="U289" s="92" t="str">
        <f aca="false">IF(OR(O289="",K289="✖️ Anulado",AND(T289&lt;&gt;"",T289&lt;&gt;"No")),"",N(H289)*IF(P289="",N(G289),N(P289)))</f>
        <v/>
      </c>
      <c r="V289" s="96"/>
      <c r="W289" s="89"/>
    </row>
    <row r="290" customFormat="false" ht="21" hidden="false" customHeight="true" outlineLevel="0" collapsed="false">
      <c r="A290" s="74" t="n">
        <v>286</v>
      </c>
      <c r="B290" s="86"/>
      <c r="C290" s="87"/>
      <c r="D290" s="88"/>
      <c r="E290" s="89"/>
      <c r="F290" s="89"/>
      <c r="G290" s="90"/>
      <c r="H290" s="91"/>
      <c r="I290" s="92" t="str">
        <f aca="false">IF(OR(G290="",H290=""),"",G290*H290)</f>
        <v/>
      </c>
      <c r="J290" s="89"/>
      <c r="K290" s="93" t="str">
        <f aca="true">IF(AND(F290="",D290=""),"",IF(V290="Sí","✖️ Anulado",IF(O290&lt;&gt;"",IF(OR(Q290="Con incidencia",R290&lt;&gt;""),"⚠️ Llegó con incidencia",IF(AND(P290&lt;&gt;"",N(P290)&lt;N(G290)),"🧩 Llegó incompleto","✅ Recibido")),IF(C290="","🛒 Por pedir",IF(AND(N290&lt;&gt;"",TODAY()&gt;N(N290)),"🐢 Retrasado","📦 Pedido (esperando)")))))</f>
        <v/>
      </c>
      <c r="L290" s="94" t="str">
        <f aca="true">IF(OR(N290="",C290="",K290="",K290="✖️ Anulado"),"",IF(O290&lt;&gt;"",MAX(0,O290-N290),IF(TODAY()&gt;N290,TODAY()-N290,"")))</f>
        <v/>
      </c>
      <c r="M290" s="87"/>
      <c r="N290" s="95" t="str">
        <f aca="false">IF(M290&lt;&gt;"",M290,IF(OR(C290="",D290=""),"",IFERROR(IF(INDEX(Listas!$E$5:$E$60,MATCH(D290,Listas!$B$5:$B$60,0))="","",C290+INDEX(Listas!$E$5:$E$60,MATCH(D290,Listas!$B$5:$B$60,0))),"")))</f>
        <v/>
      </c>
      <c r="O290" s="87"/>
      <c r="P290" s="90"/>
      <c r="Q290" s="96"/>
      <c r="R290" s="89"/>
      <c r="S290" s="94" t="str">
        <f aca="false">IF(OR(C290="",O290="",K290="✖️ Anulado"),"",O290-C290)</f>
        <v/>
      </c>
      <c r="T290" s="87"/>
      <c r="U290" s="92" t="str">
        <f aca="false">IF(OR(O290="",K290="✖️ Anulado",AND(T290&lt;&gt;"",T290&lt;&gt;"No")),"",N(H290)*IF(P290="",N(G290),N(P290)))</f>
        <v/>
      </c>
      <c r="V290" s="96"/>
      <c r="W290" s="89"/>
    </row>
    <row r="291" customFormat="false" ht="21" hidden="false" customHeight="true" outlineLevel="0" collapsed="false">
      <c r="A291" s="74" t="n">
        <v>287</v>
      </c>
      <c r="B291" s="86"/>
      <c r="C291" s="87"/>
      <c r="D291" s="88"/>
      <c r="E291" s="89"/>
      <c r="F291" s="89"/>
      <c r="G291" s="90"/>
      <c r="H291" s="91"/>
      <c r="I291" s="92" t="str">
        <f aca="false">IF(OR(G291="",H291=""),"",G291*H291)</f>
        <v/>
      </c>
      <c r="J291" s="89"/>
      <c r="K291" s="93" t="str">
        <f aca="true">IF(AND(F291="",D291=""),"",IF(V291="Sí","✖️ Anulado",IF(O291&lt;&gt;"",IF(OR(Q291="Con incidencia",R291&lt;&gt;""),"⚠️ Llegó con incidencia",IF(AND(P291&lt;&gt;"",N(P291)&lt;N(G291)),"🧩 Llegó incompleto","✅ Recibido")),IF(C291="","🛒 Por pedir",IF(AND(N291&lt;&gt;"",TODAY()&gt;N(N291)),"🐢 Retrasado","📦 Pedido (esperando)")))))</f>
        <v/>
      </c>
      <c r="L291" s="94" t="str">
        <f aca="true">IF(OR(N291="",C291="",K291="",K291="✖️ Anulado"),"",IF(O291&lt;&gt;"",MAX(0,O291-N291),IF(TODAY()&gt;N291,TODAY()-N291,"")))</f>
        <v/>
      </c>
      <c r="M291" s="87"/>
      <c r="N291" s="95" t="str">
        <f aca="false">IF(M291&lt;&gt;"",M291,IF(OR(C291="",D291=""),"",IFERROR(IF(INDEX(Listas!$E$5:$E$60,MATCH(D291,Listas!$B$5:$B$60,0))="","",C291+INDEX(Listas!$E$5:$E$60,MATCH(D291,Listas!$B$5:$B$60,0))),"")))</f>
        <v/>
      </c>
      <c r="O291" s="87"/>
      <c r="P291" s="90"/>
      <c r="Q291" s="96"/>
      <c r="R291" s="89"/>
      <c r="S291" s="94" t="str">
        <f aca="false">IF(OR(C291="",O291="",K291="✖️ Anulado"),"",O291-C291)</f>
        <v/>
      </c>
      <c r="T291" s="87"/>
      <c r="U291" s="92" t="str">
        <f aca="false">IF(OR(O291="",K291="✖️ Anulado",AND(T291&lt;&gt;"",T291&lt;&gt;"No")),"",N(H291)*IF(P291="",N(G291),N(P291)))</f>
        <v/>
      </c>
      <c r="V291" s="96"/>
      <c r="W291" s="89"/>
    </row>
    <row r="292" customFormat="false" ht="21" hidden="false" customHeight="true" outlineLevel="0" collapsed="false">
      <c r="A292" s="74" t="n">
        <v>288</v>
      </c>
      <c r="B292" s="86"/>
      <c r="C292" s="87"/>
      <c r="D292" s="88"/>
      <c r="E292" s="89"/>
      <c r="F292" s="89"/>
      <c r="G292" s="90"/>
      <c r="H292" s="91"/>
      <c r="I292" s="92" t="str">
        <f aca="false">IF(OR(G292="",H292=""),"",G292*H292)</f>
        <v/>
      </c>
      <c r="J292" s="89"/>
      <c r="K292" s="93" t="str">
        <f aca="true">IF(AND(F292="",D292=""),"",IF(V292="Sí","✖️ Anulado",IF(O292&lt;&gt;"",IF(OR(Q292="Con incidencia",R292&lt;&gt;""),"⚠️ Llegó con incidencia",IF(AND(P292&lt;&gt;"",N(P292)&lt;N(G292)),"🧩 Llegó incompleto","✅ Recibido")),IF(C292="","🛒 Por pedir",IF(AND(N292&lt;&gt;"",TODAY()&gt;N(N292)),"🐢 Retrasado","📦 Pedido (esperando)")))))</f>
        <v/>
      </c>
      <c r="L292" s="94" t="str">
        <f aca="true">IF(OR(N292="",C292="",K292="",K292="✖️ Anulado"),"",IF(O292&lt;&gt;"",MAX(0,O292-N292),IF(TODAY()&gt;N292,TODAY()-N292,"")))</f>
        <v/>
      </c>
      <c r="M292" s="87"/>
      <c r="N292" s="95" t="str">
        <f aca="false">IF(M292&lt;&gt;"",M292,IF(OR(C292="",D292=""),"",IFERROR(IF(INDEX(Listas!$E$5:$E$60,MATCH(D292,Listas!$B$5:$B$60,0))="","",C292+INDEX(Listas!$E$5:$E$60,MATCH(D292,Listas!$B$5:$B$60,0))),"")))</f>
        <v/>
      </c>
      <c r="O292" s="87"/>
      <c r="P292" s="90"/>
      <c r="Q292" s="96"/>
      <c r="R292" s="89"/>
      <c r="S292" s="94" t="str">
        <f aca="false">IF(OR(C292="",O292="",K292="✖️ Anulado"),"",O292-C292)</f>
        <v/>
      </c>
      <c r="T292" s="87"/>
      <c r="U292" s="92" t="str">
        <f aca="false">IF(OR(O292="",K292="✖️ Anulado",AND(T292&lt;&gt;"",T292&lt;&gt;"No")),"",N(H292)*IF(P292="",N(G292),N(P292)))</f>
        <v/>
      </c>
      <c r="V292" s="96"/>
      <c r="W292" s="89"/>
    </row>
    <row r="293" customFormat="false" ht="21" hidden="false" customHeight="true" outlineLevel="0" collapsed="false">
      <c r="A293" s="74" t="n">
        <v>289</v>
      </c>
      <c r="B293" s="86"/>
      <c r="C293" s="87"/>
      <c r="D293" s="88"/>
      <c r="E293" s="89"/>
      <c r="F293" s="89"/>
      <c r="G293" s="90"/>
      <c r="H293" s="91"/>
      <c r="I293" s="92" t="str">
        <f aca="false">IF(OR(G293="",H293=""),"",G293*H293)</f>
        <v/>
      </c>
      <c r="J293" s="89"/>
      <c r="K293" s="93" t="str">
        <f aca="true">IF(AND(F293="",D293=""),"",IF(V293="Sí","✖️ Anulado",IF(O293&lt;&gt;"",IF(OR(Q293="Con incidencia",R293&lt;&gt;""),"⚠️ Llegó con incidencia",IF(AND(P293&lt;&gt;"",N(P293)&lt;N(G293)),"🧩 Llegó incompleto","✅ Recibido")),IF(C293="","🛒 Por pedir",IF(AND(N293&lt;&gt;"",TODAY()&gt;N(N293)),"🐢 Retrasado","📦 Pedido (esperando)")))))</f>
        <v/>
      </c>
      <c r="L293" s="94" t="str">
        <f aca="true">IF(OR(N293="",C293="",K293="",K293="✖️ Anulado"),"",IF(O293&lt;&gt;"",MAX(0,O293-N293),IF(TODAY()&gt;N293,TODAY()-N293,"")))</f>
        <v/>
      </c>
      <c r="M293" s="87"/>
      <c r="N293" s="95" t="str">
        <f aca="false">IF(M293&lt;&gt;"",M293,IF(OR(C293="",D293=""),"",IFERROR(IF(INDEX(Listas!$E$5:$E$60,MATCH(D293,Listas!$B$5:$B$60,0))="","",C293+INDEX(Listas!$E$5:$E$60,MATCH(D293,Listas!$B$5:$B$60,0))),"")))</f>
        <v/>
      </c>
      <c r="O293" s="87"/>
      <c r="P293" s="90"/>
      <c r="Q293" s="96"/>
      <c r="R293" s="89"/>
      <c r="S293" s="94" t="str">
        <f aca="false">IF(OR(C293="",O293="",K293="✖️ Anulado"),"",O293-C293)</f>
        <v/>
      </c>
      <c r="T293" s="87"/>
      <c r="U293" s="92" t="str">
        <f aca="false">IF(OR(O293="",K293="✖️ Anulado",AND(T293&lt;&gt;"",T293&lt;&gt;"No")),"",N(H293)*IF(P293="",N(G293),N(P293)))</f>
        <v/>
      </c>
      <c r="V293" s="96"/>
      <c r="W293" s="89"/>
    </row>
    <row r="294" customFormat="false" ht="21" hidden="false" customHeight="true" outlineLevel="0" collapsed="false">
      <c r="A294" s="74" t="n">
        <v>290</v>
      </c>
      <c r="B294" s="86"/>
      <c r="C294" s="87"/>
      <c r="D294" s="88"/>
      <c r="E294" s="89"/>
      <c r="F294" s="89"/>
      <c r="G294" s="90"/>
      <c r="H294" s="91"/>
      <c r="I294" s="92" t="str">
        <f aca="false">IF(OR(G294="",H294=""),"",G294*H294)</f>
        <v/>
      </c>
      <c r="J294" s="89"/>
      <c r="K294" s="93" t="str">
        <f aca="true">IF(AND(F294="",D294=""),"",IF(V294="Sí","✖️ Anulado",IF(O294&lt;&gt;"",IF(OR(Q294="Con incidencia",R294&lt;&gt;""),"⚠️ Llegó con incidencia",IF(AND(P294&lt;&gt;"",N(P294)&lt;N(G294)),"🧩 Llegó incompleto","✅ Recibido")),IF(C294="","🛒 Por pedir",IF(AND(N294&lt;&gt;"",TODAY()&gt;N(N294)),"🐢 Retrasado","📦 Pedido (esperando)")))))</f>
        <v/>
      </c>
      <c r="L294" s="94" t="str">
        <f aca="true">IF(OR(N294="",C294="",K294="",K294="✖️ Anulado"),"",IF(O294&lt;&gt;"",MAX(0,O294-N294),IF(TODAY()&gt;N294,TODAY()-N294,"")))</f>
        <v/>
      </c>
      <c r="M294" s="87"/>
      <c r="N294" s="95" t="str">
        <f aca="false">IF(M294&lt;&gt;"",M294,IF(OR(C294="",D294=""),"",IFERROR(IF(INDEX(Listas!$E$5:$E$60,MATCH(D294,Listas!$B$5:$B$60,0))="","",C294+INDEX(Listas!$E$5:$E$60,MATCH(D294,Listas!$B$5:$B$60,0))),"")))</f>
        <v/>
      </c>
      <c r="O294" s="87"/>
      <c r="P294" s="90"/>
      <c r="Q294" s="96"/>
      <c r="R294" s="89"/>
      <c r="S294" s="94" t="str">
        <f aca="false">IF(OR(C294="",O294="",K294="✖️ Anulado"),"",O294-C294)</f>
        <v/>
      </c>
      <c r="T294" s="87"/>
      <c r="U294" s="92" t="str">
        <f aca="false">IF(OR(O294="",K294="✖️ Anulado",AND(T294&lt;&gt;"",T294&lt;&gt;"No")),"",N(H294)*IF(P294="",N(G294),N(P294)))</f>
        <v/>
      </c>
      <c r="V294" s="96"/>
      <c r="W294" s="89"/>
    </row>
    <row r="295" customFormat="false" ht="21" hidden="false" customHeight="true" outlineLevel="0" collapsed="false">
      <c r="A295" s="74" t="n">
        <v>291</v>
      </c>
      <c r="B295" s="86"/>
      <c r="C295" s="87"/>
      <c r="D295" s="88"/>
      <c r="E295" s="89"/>
      <c r="F295" s="89"/>
      <c r="G295" s="90"/>
      <c r="H295" s="91"/>
      <c r="I295" s="92" t="str">
        <f aca="false">IF(OR(G295="",H295=""),"",G295*H295)</f>
        <v/>
      </c>
      <c r="J295" s="89"/>
      <c r="K295" s="93" t="str">
        <f aca="true">IF(AND(F295="",D295=""),"",IF(V295="Sí","✖️ Anulado",IF(O295&lt;&gt;"",IF(OR(Q295="Con incidencia",R295&lt;&gt;""),"⚠️ Llegó con incidencia",IF(AND(P295&lt;&gt;"",N(P295)&lt;N(G295)),"🧩 Llegó incompleto","✅ Recibido")),IF(C295="","🛒 Por pedir",IF(AND(N295&lt;&gt;"",TODAY()&gt;N(N295)),"🐢 Retrasado","📦 Pedido (esperando)")))))</f>
        <v/>
      </c>
      <c r="L295" s="94" t="str">
        <f aca="true">IF(OR(N295="",C295="",K295="",K295="✖️ Anulado"),"",IF(O295&lt;&gt;"",MAX(0,O295-N295),IF(TODAY()&gt;N295,TODAY()-N295,"")))</f>
        <v/>
      </c>
      <c r="M295" s="87"/>
      <c r="N295" s="95" t="str">
        <f aca="false">IF(M295&lt;&gt;"",M295,IF(OR(C295="",D295=""),"",IFERROR(IF(INDEX(Listas!$E$5:$E$60,MATCH(D295,Listas!$B$5:$B$60,0))="","",C295+INDEX(Listas!$E$5:$E$60,MATCH(D295,Listas!$B$5:$B$60,0))),"")))</f>
        <v/>
      </c>
      <c r="O295" s="87"/>
      <c r="P295" s="90"/>
      <c r="Q295" s="96"/>
      <c r="R295" s="89"/>
      <c r="S295" s="94" t="str">
        <f aca="false">IF(OR(C295="",O295="",K295="✖️ Anulado"),"",O295-C295)</f>
        <v/>
      </c>
      <c r="T295" s="87"/>
      <c r="U295" s="92" t="str">
        <f aca="false">IF(OR(O295="",K295="✖️ Anulado",AND(T295&lt;&gt;"",T295&lt;&gt;"No")),"",N(H295)*IF(P295="",N(G295),N(P295)))</f>
        <v/>
      </c>
      <c r="V295" s="96"/>
      <c r="W295" s="89"/>
    </row>
    <row r="296" customFormat="false" ht="21" hidden="false" customHeight="true" outlineLevel="0" collapsed="false">
      <c r="A296" s="74" t="n">
        <v>292</v>
      </c>
      <c r="B296" s="86"/>
      <c r="C296" s="87"/>
      <c r="D296" s="88"/>
      <c r="E296" s="89"/>
      <c r="F296" s="89"/>
      <c r="G296" s="90"/>
      <c r="H296" s="91"/>
      <c r="I296" s="92" t="str">
        <f aca="false">IF(OR(G296="",H296=""),"",G296*H296)</f>
        <v/>
      </c>
      <c r="J296" s="89"/>
      <c r="K296" s="93" t="str">
        <f aca="true">IF(AND(F296="",D296=""),"",IF(V296="Sí","✖️ Anulado",IF(O296&lt;&gt;"",IF(OR(Q296="Con incidencia",R296&lt;&gt;""),"⚠️ Llegó con incidencia",IF(AND(P296&lt;&gt;"",N(P296)&lt;N(G296)),"🧩 Llegó incompleto","✅ Recibido")),IF(C296="","🛒 Por pedir",IF(AND(N296&lt;&gt;"",TODAY()&gt;N(N296)),"🐢 Retrasado","📦 Pedido (esperando)")))))</f>
        <v/>
      </c>
      <c r="L296" s="94" t="str">
        <f aca="true">IF(OR(N296="",C296="",K296="",K296="✖️ Anulado"),"",IF(O296&lt;&gt;"",MAX(0,O296-N296),IF(TODAY()&gt;N296,TODAY()-N296,"")))</f>
        <v/>
      </c>
      <c r="M296" s="87"/>
      <c r="N296" s="95" t="str">
        <f aca="false">IF(M296&lt;&gt;"",M296,IF(OR(C296="",D296=""),"",IFERROR(IF(INDEX(Listas!$E$5:$E$60,MATCH(D296,Listas!$B$5:$B$60,0))="","",C296+INDEX(Listas!$E$5:$E$60,MATCH(D296,Listas!$B$5:$B$60,0))),"")))</f>
        <v/>
      </c>
      <c r="O296" s="87"/>
      <c r="P296" s="90"/>
      <c r="Q296" s="96"/>
      <c r="R296" s="89"/>
      <c r="S296" s="94" t="str">
        <f aca="false">IF(OR(C296="",O296="",K296="✖️ Anulado"),"",O296-C296)</f>
        <v/>
      </c>
      <c r="T296" s="87"/>
      <c r="U296" s="92" t="str">
        <f aca="false">IF(OR(O296="",K296="✖️ Anulado",AND(T296&lt;&gt;"",T296&lt;&gt;"No")),"",N(H296)*IF(P296="",N(G296),N(P296)))</f>
        <v/>
      </c>
      <c r="V296" s="96"/>
      <c r="W296" s="89"/>
    </row>
    <row r="297" customFormat="false" ht="21" hidden="false" customHeight="true" outlineLevel="0" collapsed="false">
      <c r="A297" s="74" t="n">
        <v>293</v>
      </c>
      <c r="B297" s="86"/>
      <c r="C297" s="87"/>
      <c r="D297" s="88"/>
      <c r="E297" s="89"/>
      <c r="F297" s="89"/>
      <c r="G297" s="90"/>
      <c r="H297" s="91"/>
      <c r="I297" s="92" t="str">
        <f aca="false">IF(OR(G297="",H297=""),"",G297*H297)</f>
        <v/>
      </c>
      <c r="J297" s="89"/>
      <c r="K297" s="93" t="str">
        <f aca="true">IF(AND(F297="",D297=""),"",IF(V297="Sí","✖️ Anulado",IF(O297&lt;&gt;"",IF(OR(Q297="Con incidencia",R297&lt;&gt;""),"⚠️ Llegó con incidencia",IF(AND(P297&lt;&gt;"",N(P297)&lt;N(G297)),"🧩 Llegó incompleto","✅ Recibido")),IF(C297="","🛒 Por pedir",IF(AND(N297&lt;&gt;"",TODAY()&gt;N(N297)),"🐢 Retrasado","📦 Pedido (esperando)")))))</f>
        <v/>
      </c>
      <c r="L297" s="94" t="str">
        <f aca="true">IF(OR(N297="",C297="",K297="",K297="✖️ Anulado"),"",IF(O297&lt;&gt;"",MAX(0,O297-N297),IF(TODAY()&gt;N297,TODAY()-N297,"")))</f>
        <v/>
      </c>
      <c r="M297" s="87"/>
      <c r="N297" s="95" t="str">
        <f aca="false">IF(M297&lt;&gt;"",M297,IF(OR(C297="",D297=""),"",IFERROR(IF(INDEX(Listas!$E$5:$E$60,MATCH(D297,Listas!$B$5:$B$60,0))="","",C297+INDEX(Listas!$E$5:$E$60,MATCH(D297,Listas!$B$5:$B$60,0))),"")))</f>
        <v/>
      </c>
      <c r="O297" s="87"/>
      <c r="P297" s="90"/>
      <c r="Q297" s="96"/>
      <c r="R297" s="89"/>
      <c r="S297" s="94" t="str">
        <f aca="false">IF(OR(C297="",O297="",K297="✖️ Anulado"),"",O297-C297)</f>
        <v/>
      </c>
      <c r="T297" s="87"/>
      <c r="U297" s="92" t="str">
        <f aca="false">IF(OR(O297="",K297="✖️ Anulado",AND(T297&lt;&gt;"",T297&lt;&gt;"No")),"",N(H297)*IF(P297="",N(G297),N(P297)))</f>
        <v/>
      </c>
      <c r="V297" s="96"/>
      <c r="W297" s="89"/>
    </row>
    <row r="298" customFormat="false" ht="21" hidden="false" customHeight="true" outlineLevel="0" collapsed="false">
      <c r="A298" s="74" t="n">
        <v>294</v>
      </c>
      <c r="B298" s="86"/>
      <c r="C298" s="87"/>
      <c r="D298" s="88"/>
      <c r="E298" s="89"/>
      <c r="F298" s="89"/>
      <c r="G298" s="90"/>
      <c r="H298" s="91"/>
      <c r="I298" s="92" t="str">
        <f aca="false">IF(OR(G298="",H298=""),"",G298*H298)</f>
        <v/>
      </c>
      <c r="J298" s="89"/>
      <c r="K298" s="93" t="str">
        <f aca="true">IF(AND(F298="",D298=""),"",IF(V298="Sí","✖️ Anulado",IF(O298&lt;&gt;"",IF(OR(Q298="Con incidencia",R298&lt;&gt;""),"⚠️ Llegó con incidencia",IF(AND(P298&lt;&gt;"",N(P298)&lt;N(G298)),"🧩 Llegó incompleto","✅ Recibido")),IF(C298="","🛒 Por pedir",IF(AND(N298&lt;&gt;"",TODAY()&gt;N(N298)),"🐢 Retrasado","📦 Pedido (esperando)")))))</f>
        <v/>
      </c>
      <c r="L298" s="94" t="str">
        <f aca="true">IF(OR(N298="",C298="",K298="",K298="✖️ Anulado"),"",IF(O298&lt;&gt;"",MAX(0,O298-N298),IF(TODAY()&gt;N298,TODAY()-N298,"")))</f>
        <v/>
      </c>
      <c r="M298" s="87"/>
      <c r="N298" s="95" t="str">
        <f aca="false">IF(M298&lt;&gt;"",M298,IF(OR(C298="",D298=""),"",IFERROR(IF(INDEX(Listas!$E$5:$E$60,MATCH(D298,Listas!$B$5:$B$60,0))="","",C298+INDEX(Listas!$E$5:$E$60,MATCH(D298,Listas!$B$5:$B$60,0))),"")))</f>
        <v/>
      </c>
      <c r="O298" s="87"/>
      <c r="P298" s="90"/>
      <c r="Q298" s="96"/>
      <c r="R298" s="89"/>
      <c r="S298" s="94" t="str">
        <f aca="false">IF(OR(C298="",O298="",K298="✖️ Anulado"),"",O298-C298)</f>
        <v/>
      </c>
      <c r="T298" s="87"/>
      <c r="U298" s="92" t="str">
        <f aca="false">IF(OR(O298="",K298="✖️ Anulado",AND(T298&lt;&gt;"",T298&lt;&gt;"No")),"",N(H298)*IF(P298="",N(G298),N(P298)))</f>
        <v/>
      </c>
      <c r="V298" s="96"/>
      <c r="W298" s="89"/>
    </row>
    <row r="299" customFormat="false" ht="21" hidden="false" customHeight="true" outlineLevel="0" collapsed="false">
      <c r="A299" s="74" t="n">
        <v>295</v>
      </c>
      <c r="B299" s="86"/>
      <c r="C299" s="87"/>
      <c r="D299" s="88"/>
      <c r="E299" s="89"/>
      <c r="F299" s="89"/>
      <c r="G299" s="90"/>
      <c r="H299" s="91"/>
      <c r="I299" s="92" t="str">
        <f aca="false">IF(OR(G299="",H299=""),"",G299*H299)</f>
        <v/>
      </c>
      <c r="J299" s="89"/>
      <c r="K299" s="93" t="str">
        <f aca="true">IF(AND(F299="",D299=""),"",IF(V299="Sí","✖️ Anulado",IF(O299&lt;&gt;"",IF(OR(Q299="Con incidencia",R299&lt;&gt;""),"⚠️ Llegó con incidencia",IF(AND(P299&lt;&gt;"",N(P299)&lt;N(G299)),"🧩 Llegó incompleto","✅ Recibido")),IF(C299="","🛒 Por pedir",IF(AND(N299&lt;&gt;"",TODAY()&gt;N(N299)),"🐢 Retrasado","📦 Pedido (esperando)")))))</f>
        <v/>
      </c>
      <c r="L299" s="94" t="str">
        <f aca="true">IF(OR(N299="",C299="",K299="",K299="✖️ Anulado"),"",IF(O299&lt;&gt;"",MAX(0,O299-N299),IF(TODAY()&gt;N299,TODAY()-N299,"")))</f>
        <v/>
      </c>
      <c r="M299" s="87"/>
      <c r="N299" s="95" t="str">
        <f aca="false">IF(M299&lt;&gt;"",M299,IF(OR(C299="",D299=""),"",IFERROR(IF(INDEX(Listas!$E$5:$E$60,MATCH(D299,Listas!$B$5:$B$60,0))="","",C299+INDEX(Listas!$E$5:$E$60,MATCH(D299,Listas!$B$5:$B$60,0))),"")))</f>
        <v/>
      </c>
      <c r="O299" s="87"/>
      <c r="P299" s="90"/>
      <c r="Q299" s="96"/>
      <c r="R299" s="89"/>
      <c r="S299" s="94" t="str">
        <f aca="false">IF(OR(C299="",O299="",K299="✖️ Anulado"),"",O299-C299)</f>
        <v/>
      </c>
      <c r="T299" s="87"/>
      <c r="U299" s="92" t="str">
        <f aca="false">IF(OR(O299="",K299="✖️ Anulado",AND(T299&lt;&gt;"",T299&lt;&gt;"No")),"",N(H299)*IF(P299="",N(G299),N(P299)))</f>
        <v/>
      </c>
      <c r="V299" s="96"/>
      <c r="W299" s="89"/>
    </row>
    <row r="300" customFormat="false" ht="21" hidden="false" customHeight="true" outlineLevel="0" collapsed="false">
      <c r="A300" s="74" t="n">
        <v>296</v>
      </c>
      <c r="B300" s="86"/>
      <c r="C300" s="87"/>
      <c r="D300" s="88"/>
      <c r="E300" s="89"/>
      <c r="F300" s="89"/>
      <c r="G300" s="90"/>
      <c r="H300" s="91"/>
      <c r="I300" s="92" t="str">
        <f aca="false">IF(OR(G300="",H300=""),"",G300*H300)</f>
        <v/>
      </c>
      <c r="J300" s="89"/>
      <c r="K300" s="93" t="str">
        <f aca="true">IF(AND(F300="",D300=""),"",IF(V300="Sí","✖️ Anulado",IF(O300&lt;&gt;"",IF(OR(Q300="Con incidencia",R300&lt;&gt;""),"⚠️ Llegó con incidencia",IF(AND(P300&lt;&gt;"",N(P300)&lt;N(G300)),"🧩 Llegó incompleto","✅ Recibido")),IF(C300="","🛒 Por pedir",IF(AND(N300&lt;&gt;"",TODAY()&gt;N(N300)),"🐢 Retrasado","📦 Pedido (esperando)")))))</f>
        <v/>
      </c>
      <c r="L300" s="94" t="str">
        <f aca="true">IF(OR(N300="",C300="",K300="",K300="✖️ Anulado"),"",IF(O300&lt;&gt;"",MAX(0,O300-N300),IF(TODAY()&gt;N300,TODAY()-N300,"")))</f>
        <v/>
      </c>
      <c r="M300" s="87"/>
      <c r="N300" s="95" t="str">
        <f aca="false">IF(M300&lt;&gt;"",M300,IF(OR(C300="",D300=""),"",IFERROR(IF(INDEX(Listas!$E$5:$E$60,MATCH(D300,Listas!$B$5:$B$60,0))="","",C300+INDEX(Listas!$E$5:$E$60,MATCH(D300,Listas!$B$5:$B$60,0))),"")))</f>
        <v/>
      </c>
      <c r="O300" s="87"/>
      <c r="P300" s="90"/>
      <c r="Q300" s="96"/>
      <c r="R300" s="89"/>
      <c r="S300" s="94" t="str">
        <f aca="false">IF(OR(C300="",O300="",K300="✖️ Anulado"),"",O300-C300)</f>
        <v/>
      </c>
      <c r="T300" s="87"/>
      <c r="U300" s="92" t="str">
        <f aca="false">IF(OR(O300="",K300="✖️ Anulado",AND(T300&lt;&gt;"",T300&lt;&gt;"No")),"",N(H300)*IF(P300="",N(G300),N(P300)))</f>
        <v/>
      </c>
      <c r="V300" s="96"/>
      <c r="W300" s="89"/>
    </row>
    <row r="301" customFormat="false" ht="21" hidden="false" customHeight="true" outlineLevel="0" collapsed="false">
      <c r="A301" s="74" t="n">
        <v>297</v>
      </c>
      <c r="B301" s="86"/>
      <c r="C301" s="87"/>
      <c r="D301" s="88"/>
      <c r="E301" s="89"/>
      <c r="F301" s="89"/>
      <c r="G301" s="90"/>
      <c r="H301" s="91"/>
      <c r="I301" s="92" t="str">
        <f aca="false">IF(OR(G301="",H301=""),"",G301*H301)</f>
        <v/>
      </c>
      <c r="J301" s="89"/>
      <c r="K301" s="93" t="str">
        <f aca="true">IF(AND(F301="",D301=""),"",IF(V301="Sí","✖️ Anulado",IF(O301&lt;&gt;"",IF(OR(Q301="Con incidencia",R301&lt;&gt;""),"⚠️ Llegó con incidencia",IF(AND(P301&lt;&gt;"",N(P301)&lt;N(G301)),"🧩 Llegó incompleto","✅ Recibido")),IF(C301="","🛒 Por pedir",IF(AND(N301&lt;&gt;"",TODAY()&gt;N(N301)),"🐢 Retrasado","📦 Pedido (esperando)")))))</f>
        <v/>
      </c>
      <c r="L301" s="94" t="str">
        <f aca="true">IF(OR(N301="",C301="",K301="",K301="✖️ Anulado"),"",IF(O301&lt;&gt;"",MAX(0,O301-N301),IF(TODAY()&gt;N301,TODAY()-N301,"")))</f>
        <v/>
      </c>
      <c r="M301" s="87"/>
      <c r="N301" s="95" t="str">
        <f aca="false">IF(M301&lt;&gt;"",M301,IF(OR(C301="",D301=""),"",IFERROR(IF(INDEX(Listas!$E$5:$E$60,MATCH(D301,Listas!$B$5:$B$60,0))="","",C301+INDEX(Listas!$E$5:$E$60,MATCH(D301,Listas!$B$5:$B$60,0))),"")))</f>
        <v/>
      </c>
      <c r="O301" s="87"/>
      <c r="P301" s="90"/>
      <c r="Q301" s="96"/>
      <c r="R301" s="89"/>
      <c r="S301" s="94" t="str">
        <f aca="false">IF(OR(C301="",O301="",K301="✖️ Anulado"),"",O301-C301)</f>
        <v/>
      </c>
      <c r="T301" s="87"/>
      <c r="U301" s="92" t="str">
        <f aca="false">IF(OR(O301="",K301="✖️ Anulado",AND(T301&lt;&gt;"",T301&lt;&gt;"No")),"",N(H301)*IF(P301="",N(G301),N(P301)))</f>
        <v/>
      </c>
      <c r="V301" s="96"/>
      <c r="W301" s="89"/>
    </row>
    <row r="302" customFormat="false" ht="21" hidden="false" customHeight="true" outlineLevel="0" collapsed="false">
      <c r="A302" s="74" t="n">
        <v>298</v>
      </c>
      <c r="B302" s="86"/>
      <c r="C302" s="87"/>
      <c r="D302" s="88"/>
      <c r="E302" s="89"/>
      <c r="F302" s="89"/>
      <c r="G302" s="90"/>
      <c r="H302" s="91"/>
      <c r="I302" s="92" t="str">
        <f aca="false">IF(OR(G302="",H302=""),"",G302*H302)</f>
        <v/>
      </c>
      <c r="J302" s="89"/>
      <c r="K302" s="93" t="str">
        <f aca="true">IF(AND(F302="",D302=""),"",IF(V302="Sí","✖️ Anulado",IF(O302&lt;&gt;"",IF(OR(Q302="Con incidencia",R302&lt;&gt;""),"⚠️ Llegó con incidencia",IF(AND(P302&lt;&gt;"",N(P302)&lt;N(G302)),"🧩 Llegó incompleto","✅ Recibido")),IF(C302="","🛒 Por pedir",IF(AND(N302&lt;&gt;"",TODAY()&gt;N(N302)),"🐢 Retrasado","📦 Pedido (esperando)")))))</f>
        <v/>
      </c>
      <c r="L302" s="94" t="str">
        <f aca="true">IF(OR(N302="",C302="",K302="",K302="✖️ Anulado"),"",IF(O302&lt;&gt;"",MAX(0,O302-N302),IF(TODAY()&gt;N302,TODAY()-N302,"")))</f>
        <v/>
      </c>
      <c r="M302" s="87"/>
      <c r="N302" s="95" t="str">
        <f aca="false">IF(M302&lt;&gt;"",M302,IF(OR(C302="",D302=""),"",IFERROR(IF(INDEX(Listas!$E$5:$E$60,MATCH(D302,Listas!$B$5:$B$60,0))="","",C302+INDEX(Listas!$E$5:$E$60,MATCH(D302,Listas!$B$5:$B$60,0))),"")))</f>
        <v/>
      </c>
      <c r="O302" s="87"/>
      <c r="P302" s="90"/>
      <c r="Q302" s="96"/>
      <c r="R302" s="89"/>
      <c r="S302" s="94" t="str">
        <f aca="false">IF(OR(C302="",O302="",K302="✖️ Anulado"),"",O302-C302)</f>
        <v/>
      </c>
      <c r="T302" s="87"/>
      <c r="U302" s="92" t="str">
        <f aca="false">IF(OR(O302="",K302="✖️ Anulado",AND(T302&lt;&gt;"",T302&lt;&gt;"No")),"",N(H302)*IF(P302="",N(G302),N(P302)))</f>
        <v/>
      </c>
      <c r="V302" s="96"/>
      <c r="W302" s="89"/>
    </row>
    <row r="303" customFormat="false" ht="21" hidden="false" customHeight="true" outlineLevel="0" collapsed="false">
      <c r="A303" s="74" t="n">
        <v>299</v>
      </c>
      <c r="B303" s="86"/>
      <c r="C303" s="87"/>
      <c r="D303" s="88"/>
      <c r="E303" s="89"/>
      <c r="F303" s="89"/>
      <c r="G303" s="90"/>
      <c r="H303" s="91"/>
      <c r="I303" s="92" t="str">
        <f aca="false">IF(OR(G303="",H303=""),"",G303*H303)</f>
        <v/>
      </c>
      <c r="J303" s="89"/>
      <c r="K303" s="93" t="str">
        <f aca="true">IF(AND(F303="",D303=""),"",IF(V303="Sí","✖️ Anulado",IF(O303&lt;&gt;"",IF(OR(Q303="Con incidencia",R303&lt;&gt;""),"⚠️ Llegó con incidencia",IF(AND(P303&lt;&gt;"",N(P303)&lt;N(G303)),"🧩 Llegó incompleto","✅ Recibido")),IF(C303="","🛒 Por pedir",IF(AND(N303&lt;&gt;"",TODAY()&gt;N(N303)),"🐢 Retrasado","📦 Pedido (esperando)")))))</f>
        <v/>
      </c>
      <c r="L303" s="94" t="str">
        <f aca="true">IF(OR(N303="",C303="",K303="",K303="✖️ Anulado"),"",IF(O303&lt;&gt;"",MAX(0,O303-N303),IF(TODAY()&gt;N303,TODAY()-N303,"")))</f>
        <v/>
      </c>
      <c r="M303" s="87"/>
      <c r="N303" s="95" t="str">
        <f aca="false">IF(M303&lt;&gt;"",M303,IF(OR(C303="",D303=""),"",IFERROR(IF(INDEX(Listas!$E$5:$E$60,MATCH(D303,Listas!$B$5:$B$60,0))="","",C303+INDEX(Listas!$E$5:$E$60,MATCH(D303,Listas!$B$5:$B$60,0))),"")))</f>
        <v/>
      </c>
      <c r="O303" s="87"/>
      <c r="P303" s="90"/>
      <c r="Q303" s="96"/>
      <c r="R303" s="89"/>
      <c r="S303" s="94" t="str">
        <f aca="false">IF(OR(C303="",O303="",K303="✖️ Anulado"),"",O303-C303)</f>
        <v/>
      </c>
      <c r="T303" s="87"/>
      <c r="U303" s="92" t="str">
        <f aca="false">IF(OR(O303="",K303="✖️ Anulado",AND(T303&lt;&gt;"",T303&lt;&gt;"No")),"",N(H303)*IF(P303="",N(G303),N(P303)))</f>
        <v/>
      </c>
      <c r="V303" s="96"/>
      <c r="W303" s="89"/>
    </row>
    <row r="304" customFormat="false" ht="21" hidden="false" customHeight="true" outlineLevel="0" collapsed="false">
      <c r="A304" s="74" t="n">
        <v>300</v>
      </c>
      <c r="B304" s="86"/>
      <c r="C304" s="87"/>
      <c r="D304" s="88"/>
      <c r="E304" s="89"/>
      <c r="F304" s="89"/>
      <c r="G304" s="90"/>
      <c r="H304" s="91"/>
      <c r="I304" s="92" t="str">
        <f aca="false">IF(OR(G304="",H304=""),"",G304*H304)</f>
        <v/>
      </c>
      <c r="J304" s="89"/>
      <c r="K304" s="93" t="str">
        <f aca="true">IF(AND(F304="",D304=""),"",IF(V304="Sí","✖️ Anulado",IF(O304&lt;&gt;"",IF(OR(Q304="Con incidencia",R304&lt;&gt;""),"⚠️ Llegó con incidencia",IF(AND(P304&lt;&gt;"",N(P304)&lt;N(G304)),"🧩 Llegó incompleto","✅ Recibido")),IF(C304="","🛒 Por pedir",IF(AND(N304&lt;&gt;"",TODAY()&gt;N(N304)),"🐢 Retrasado","📦 Pedido (esperando)")))))</f>
        <v/>
      </c>
      <c r="L304" s="94" t="str">
        <f aca="true">IF(OR(N304="",C304="",K304="",K304="✖️ Anulado"),"",IF(O304&lt;&gt;"",MAX(0,O304-N304),IF(TODAY()&gt;N304,TODAY()-N304,"")))</f>
        <v/>
      </c>
      <c r="M304" s="87"/>
      <c r="N304" s="95" t="str">
        <f aca="false">IF(M304&lt;&gt;"",M304,IF(OR(C304="",D304=""),"",IFERROR(IF(INDEX(Listas!$E$5:$E$60,MATCH(D304,Listas!$B$5:$B$60,0))="","",C304+INDEX(Listas!$E$5:$E$60,MATCH(D304,Listas!$B$5:$B$60,0))),"")))</f>
        <v/>
      </c>
      <c r="O304" s="87"/>
      <c r="P304" s="90"/>
      <c r="Q304" s="96"/>
      <c r="R304" s="89"/>
      <c r="S304" s="94" t="str">
        <f aca="false">IF(OR(C304="",O304="",K304="✖️ Anulado"),"",O304-C304)</f>
        <v/>
      </c>
      <c r="T304" s="87"/>
      <c r="U304" s="92" t="str">
        <f aca="false">IF(OR(O304="",K304="✖️ Anulado",AND(T304&lt;&gt;"",T304&lt;&gt;"No")),"",N(H304)*IF(P304="",N(G304),N(P304)))</f>
        <v/>
      </c>
      <c r="V304" s="96"/>
      <c r="W304" s="89"/>
    </row>
  </sheetData>
  <autoFilter ref="A4:W304"/>
  <mergeCells count="5">
    <mergeCell ref="A3:J3"/>
    <mergeCell ref="K3:L3"/>
    <mergeCell ref="M3:S3"/>
    <mergeCell ref="T3:U3"/>
    <mergeCell ref="V3:W3"/>
  </mergeCells>
  <conditionalFormatting sqref="A5:H304">
    <cfRule type="expression" priority="2" aboveAverage="0" equalAverage="0" bottom="0" percent="0" rank="0" text="" dxfId="22">
      <formula>AND(OR($K5="✖️ Anulado",AND($K5="✅ Recibido",$T5&lt;&gt;"",$T5&lt;&gt;"No")),MOD(ROW(),2)=0)</formula>
    </cfRule>
    <cfRule type="expression" priority="3" aboveAverage="0" equalAverage="0" bottom="0" percent="0" rank="0" text="" dxfId="23">
      <formula>OR($K5="✖️ Anulado",AND($K5="✅ Recibido",$T5&lt;&gt;"",$T5&lt;&gt;"No"))</formula>
    </cfRule>
    <cfRule type="expression" priority="4" aboveAverage="0" equalAverage="0" bottom="0" percent="0" rank="0" text="" dxfId="24">
      <formula>MOD(ROW(),2)=0</formula>
    </cfRule>
  </conditionalFormatting>
  <conditionalFormatting sqref="J5:J304">
    <cfRule type="expression" priority="5" aboveAverage="0" equalAverage="0" bottom="0" percent="0" rank="0" text="" dxfId="22">
      <formula>AND(OR($K5="✖️ Anulado",AND($K5="✅ Recibido",$T5&lt;&gt;"",$T5&lt;&gt;"No")),MOD(ROW(),2)=0)</formula>
    </cfRule>
    <cfRule type="expression" priority="6" aboveAverage="0" equalAverage="0" bottom="0" percent="0" rank="0" text="" dxfId="23">
      <formula>OR($K5="✖️ Anulado",AND($K5="✅ Recibido",$T5&lt;&gt;"",$T5&lt;&gt;"No"))</formula>
    </cfRule>
    <cfRule type="expression" priority="7" aboveAverage="0" equalAverage="0" bottom="0" percent="0" rank="0" text="" dxfId="24">
      <formula>MOD(ROW(),2)=0</formula>
    </cfRule>
  </conditionalFormatting>
  <conditionalFormatting sqref="M5:M304">
    <cfRule type="expression" priority="8" aboveAverage="0" equalAverage="0" bottom="0" percent="0" rank="0" text="" dxfId="22">
      <formula>AND(OR($K5="✖️ Anulado",AND($K5="✅ Recibido",$T5&lt;&gt;"",$T5&lt;&gt;"No")),MOD(ROW(),2)=0)</formula>
    </cfRule>
    <cfRule type="expression" priority="9" aboveAverage="0" equalAverage="0" bottom="0" percent="0" rank="0" text="" dxfId="23">
      <formula>OR($K5="✖️ Anulado",AND($K5="✅ Recibido",$T5&lt;&gt;"",$T5&lt;&gt;"No"))</formula>
    </cfRule>
    <cfRule type="expression" priority="10" aboveAverage="0" equalAverage="0" bottom="0" percent="0" rank="0" text="" dxfId="24">
      <formula>MOD(ROW(),2)=0</formula>
    </cfRule>
  </conditionalFormatting>
  <conditionalFormatting sqref="O5:Q304">
    <cfRule type="expression" priority="11" aboveAverage="0" equalAverage="0" bottom="0" percent="0" rank="0" text="" dxfId="22">
      <formula>AND(OR($K5="✖️ Anulado",AND($K5="✅ Recibido",$T5&lt;&gt;"",$T5&lt;&gt;"No")),MOD(ROW(),2)=0)</formula>
    </cfRule>
    <cfRule type="expression" priority="12" aboveAverage="0" equalAverage="0" bottom="0" percent="0" rank="0" text="" dxfId="23">
      <formula>OR($K5="✖️ Anulado",AND($K5="✅ Recibido",$T5&lt;&gt;"",$T5&lt;&gt;"No"))</formula>
    </cfRule>
    <cfRule type="expression" priority="13" aboveAverage="0" equalAverage="0" bottom="0" percent="0" rank="0" text="" dxfId="24">
      <formula>MOD(ROW(),2)=0</formula>
    </cfRule>
  </conditionalFormatting>
  <conditionalFormatting sqref="T5:T304">
    <cfRule type="expression" priority="14" aboveAverage="0" equalAverage="0" bottom="0" percent="0" rank="0" text="" dxfId="22">
      <formula>AND(OR($K5="✖️ Anulado",AND($K5="✅ Recibido",$T5&lt;&gt;"",$T5&lt;&gt;"No")),MOD(ROW(),2)=0)</formula>
    </cfRule>
    <cfRule type="expression" priority="15" aboveAverage="0" equalAverage="0" bottom="0" percent="0" rank="0" text="" dxfId="23">
      <formula>OR($K5="✖️ Anulado",AND($K5="✅ Recibido",$T5&lt;&gt;"",$T5&lt;&gt;"No"))</formula>
    </cfRule>
    <cfRule type="expression" priority="16" aboveAverage="0" equalAverage="0" bottom="0" percent="0" rank="0" text="" dxfId="24">
      <formula>MOD(ROW(),2)=0</formula>
    </cfRule>
  </conditionalFormatting>
  <conditionalFormatting sqref="V5:W304">
    <cfRule type="expression" priority="17" aboveAverage="0" equalAverage="0" bottom="0" percent="0" rank="0" text="" dxfId="22">
      <formula>AND(OR($K5="✖️ Anulado",AND($K5="✅ Recibido",$T5&lt;&gt;"",$T5&lt;&gt;"No")),MOD(ROW(),2)=0)</formula>
    </cfRule>
    <cfRule type="expression" priority="18" aboveAverage="0" equalAverage="0" bottom="0" percent="0" rank="0" text="" dxfId="23">
      <formula>OR($K5="✖️ Anulado",AND($K5="✅ Recibido",$T5&lt;&gt;"",$T5&lt;&gt;"No"))</formula>
    </cfRule>
    <cfRule type="expression" priority="19" aboveAverage="0" equalAverage="0" bottom="0" percent="0" rank="0" text="" dxfId="24">
      <formula>MOD(ROW(),2)=0</formula>
    </cfRule>
  </conditionalFormatting>
  <conditionalFormatting sqref="R5:R304">
    <cfRule type="expression" priority="20" aboveAverage="0" equalAverage="0" bottom="0" percent="0" rank="0" text="" dxfId="25">
      <formula>AND($K5="⚠️ Llegó con incidencia",MOD(ROW(),2)=0)</formula>
    </cfRule>
    <cfRule type="expression" priority="21" aboveAverage="0" equalAverage="0" bottom="0" percent="0" rank="0" text="" dxfId="26">
      <formula>$K5="⚠️ Llegó con incidencia"</formula>
    </cfRule>
    <cfRule type="expression" priority="22" aboveAverage="0" equalAverage="0" bottom="0" percent="0" rank="0" text="" dxfId="22">
      <formula>AND(OR($K5="✖️ Anulado",AND($K5="✅ Recibido",$T5&lt;&gt;"",$T5&lt;&gt;"No")),MOD(ROW(),2)=0)</formula>
    </cfRule>
    <cfRule type="expression" priority="23" aboveAverage="0" equalAverage="0" bottom="0" percent="0" rank="0" text="" dxfId="23">
      <formula>OR($K5="✖️ Anulado",AND($K5="✅ Recibido",$T5&lt;&gt;"",$T5&lt;&gt;"No"))</formula>
    </cfRule>
    <cfRule type="expression" priority="24" aboveAverage="0" equalAverage="0" bottom="0" percent="0" rank="0" text="" dxfId="24">
      <formula>MOD(ROW(),2)=0</formula>
    </cfRule>
  </conditionalFormatting>
  <conditionalFormatting sqref="K5:K304">
    <cfRule type="expression" priority="25" aboveAverage="0" equalAverage="0" bottom="0" percent="0" rank="0" text="" dxfId="27">
      <formula>$K5="🛒 Por pedir"</formula>
    </cfRule>
    <cfRule type="expression" priority="26" aboveAverage="0" equalAverage="0" bottom="0" percent="0" rank="0" text="" dxfId="28">
      <formula>$K5="📦 Pedido (esperando)"</formula>
    </cfRule>
    <cfRule type="expression" priority="27" aboveAverage="0" equalAverage="0" bottom="0" percent="0" rank="0" text="" dxfId="29">
      <formula>$K5="🐢 Retrasado"</formula>
    </cfRule>
    <cfRule type="expression" priority="28" aboveAverage="0" equalAverage="0" bottom="0" percent="0" rank="0" text="" dxfId="30">
      <formula>$K5="🧩 Llegó incompleto"</formula>
    </cfRule>
    <cfRule type="expression" priority="29" aboveAverage="0" equalAverage="0" bottom="0" percent="0" rank="0" text="" dxfId="31">
      <formula>$K5="⚠️ Llegó con incidencia"</formula>
    </cfRule>
    <cfRule type="expression" priority="30" aboveAverage="0" equalAverage="0" bottom="0" percent="0" rank="0" text="" dxfId="32">
      <formula>$K5="✅ Recibido"</formula>
    </cfRule>
    <cfRule type="expression" priority="31" aboveAverage="0" equalAverage="0" bottom="0" percent="0" rank="0" text="" dxfId="33">
      <formula>$K5="✖️ Anulado"</formula>
    </cfRule>
  </conditionalFormatting>
  <conditionalFormatting sqref="L5:L304">
    <cfRule type="expression" priority="32" aboveAverage="0" equalAverage="0" bottom="0" percent="0" rank="0" text="" dxfId="31">
      <formula>AND($K5="🐢 Retrasado",N($L5)&gt;0)</formula>
    </cfRule>
    <cfRule type="expression" priority="33" aboveAverage="0" equalAverage="0" bottom="0" percent="0" rank="0" text="" dxfId="34">
      <formula>N($L5)&gt;0</formula>
    </cfRule>
    <cfRule type="expression" priority="34" aboveAverage="0" equalAverage="0" bottom="0" percent="0" rank="0" text="" dxfId="23">
      <formula>OR($K5="✖️ Anulado",AND($K5="✅ Recibido",$T5&lt;&gt;"",$T5&lt;&gt;"No"))</formula>
    </cfRule>
  </conditionalFormatting>
  <conditionalFormatting sqref="N5:N304">
    <cfRule type="expression" priority="35" aboveAverage="0" equalAverage="0" bottom="0" percent="0" rank="0" text="" dxfId="35">
      <formula>$K5="🐢 Retrasado"</formula>
    </cfRule>
    <cfRule type="expression" priority="36" aboveAverage="0" equalAverage="0" bottom="0" percent="0" rank="0" text="" dxfId="23">
      <formula>OR($K5="✖️ Anulado",AND($K5="✅ Recibido",$T5&lt;&gt;"",$T5&lt;&gt;"No"))</formula>
    </cfRule>
  </conditionalFormatting>
  <conditionalFormatting sqref="U5:U304">
    <cfRule type="expression" priority="37" aboveAverage="0" equalAverage="0" bottom="0" percent="0" rank="0" text="" dxfId="36">
      <formula>N($U5)&gt;0</formula>
    </cfRule>
  </conditionalFormatting>
  <conditionalFormatting sqref="I5:I304">
    <cfRule type="expression" priority="38" aboveAverage="0" equalAverage="0" bottom="0" percent="0" rank="0" text="" dxfId="23">
      <formula>OR($K5="✖️ Anulado",AND($K5="✅ Recibido",$T5&lt;&gt;"",$T5&lt;&gt;"No"))</formula>
    </cfRule>
  </conditionalFormatting>
  <conditionalFormatting sqref="S5:S304">
    <cfRule type="expression" priority="39" aboveAverage="0" equalAverage="0" bottom="0" percent="0" rank="0" text="" dxfId="23">
      <formula>OR($K5="✖️ Anulado",AND($K5="✅ Recibido",$T5&lt;&gt;"",$T5&lt;&gt;"No"))</formula>
    </cfRule>
  </conditionalFormatting>
  <dataValidations count="8">
    <dataValidation allowBlank="true" error="Escribe una fecha, por ejemplo 16/10/2026." errorStyle="stop" errorTitle="Fecha" operator="greaterThan" showDropDown="false" showErrorMessage="true" showInputMessage="false" sqref="C5:C304 M5:M304 O5:O304" type="date">
      <formula1>36526</formula1>
      <formula2>0</formula2>
    </dataValidation>
    <dataValidation allowBlank="true" errorStyle="stop" operator="between" showDropDown="false" showErrorMessage="false" showInputMessage="false" sqref="D5:D304" type="list">
      <formula1>Listas!$B$5:$B$60</formula1>
      <formula2>0</formula2>
    </dataValidation>
    <dataValidation allowBlank="true" errorStyle="stop" operator="between" showDropDown="false" showErrorMessage="false" showInputMessage="false" sqref="E5:E304" type="list">
      <formula1>Listas!$G$5:$G$60</formula1>
      <formula2>0</formula2>
    </dataValidation>
    <dataValidation allowBlank="true" errorStyle="stop" operator="between" showDropDown="false" showErrorMessage="false" showInputMessage="false" sqref="J5:J304" type="list">
      <formula1>"Stock"</formula1>
      <formula2>0</formula2>
    </dataValidation>
    <dataValidation allowBlank="true" errorStyle="stop" operator="between" showDropDown="false" showErrorMessage="false" showInputMessage="false" sqref="Q5:Q304" type="list">
      <formula1>"Bien,Con incidencia"</formula1>
      <formula2>0</formula2>
    </dataValidation>
    <dataValidation allowBlank="true" errorStyle="stop" operator="between" showDropDown="false" showErrorMessage="false" showInputMessage="false" sqref="T5:T304" type="list">
      <formula1>"Sí,No"</formula1>
      <formula2>0</formula2>
    </dataValidation>
    <dataValidation allowBlank="true" errorStyle="stop" operator="between" showDropDown="false" showErrorMessage="false" showInputMessage="false" sqref="V5:V304" type="list">
      <formula1>"Sí,No"</formula1>
      <formula2>0</formula2>
    </dataValidation>
    <dataValidation allowBlank="true" error="Escribe un número, sin el símbolo €." errorStyle="stop" operator="greaterThanOrEqual" showDropDown="false" showErrorMessage="true" showInputMessage="false" sqref="G5:H304 P5:P304" type="decimal">
      <formula1>0</formula1>
      <formula2>0</formula2>
    </dataValidation>
  </dataValidations>
  <hyperlinks>
    <hyperlink ref="K1" r:id="rId2" display="Plantilla gratis de Pathing  ·  pathing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A3E96"/>
    <pageSetUpPr fitToPage="true"/>
  </sheetPr>
  <dimension ref="A1:L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5" min="3" style="0" width="13"/>
    <col collapsed="false" customWidth="true" hidden="false" outlineLevel="0" max="8" min="6" style="0" width="15"/>
    <col collapsed="false" customWidth="true" hidden="false" outlineLevel="0" max="11" min="9" style="0" width="14"/>
    <col collapsed="false" customWidth="true" hidden="true" outlineLevel="0" max="12" min="12" style="0" width="5"/>
  </cols>
  <sheetData>
    <row r="1" customFormat="false" ht="43.5" hidden="false" customHeight="true" outlineLevel="0" collapsed="false">
      <c r="A1" s="1"/>
      <c r="B1" s="55" t="s">
        <v>130</v>
      </c>
      <c r="C1" s="1"/>
      <c r="D1" s="1"/>
      <c r="E1" s="1"/>
      <c r="F1" s="1"/>
      <c r="G1" s="23" t="s">
        <v>30</v>
      </c>
      <c r="H1" s="23"/>
      <c r="I1" s="23"/>
      <c r="J1" s="23"/>
      <c r="K1" s="23"/>
      <c r="L1" s="1"/>
    </row>
    <row r="2" customFormat="false" ht="15" hidden="false" customHeight="false" outlineLevel="0" collapsed="false">
      <c r="B2" s="15" t="s">
        <v>131</v>
      </c>
    </row>
    <row r="4" customFormat="false" ht="42" hidden="false" customHeight="true" outlineLevel="0" collapsed="false">
      <c r="B4" s="97" t="s">
        <v>66</v>
      </c>
      <c r="C4" s="98" t="s">
        <v>132</v>
      </c>
      <c r="D4" s="98" t="s">
        <v>133</v>
      </c>
      <c r="E4" s="98" t="s">
        <v>117</v>
      </c>
      <c r="F4" s="98" t="s">
        <v>134</v>
      </c>
      <c r="G4" s="98" t="s">
        <v>135</v>
      </c>
      <c r="H4" s="98" t="s">
        <v>136</v>
      </c>
      <c r="I4" s="98" t="s">
        <v>137</v>
      </c>
      <c r="J4" s="98" t="s">
        <v>138</v>
      </c>
      <c r="K4" s="98" t="s">
        <v>139</v>
      </c>
    </row>
    <row r="5" customFormat="false" ht="21" hidden="false" customHeight="true" outlineLevel="0" collapsed="false">
      <c r="B5" s="99" t="str">
        <f aca="false">IF(Listas!$B$5="","",Listas!$B$5)</f>
        <v>Distribuciones Alfa</v>
      </c>
      <c r="C5" s="100" t="n">
        <f aca="false">IF($B5="","",COUNTIFS(Pedidos!$D$5:$D$304,$B5,Pedidos!$K$5:$K$304,"🛒 Por pedir")+COUNTIFS(Pedidos!$D$5:$D$304,$B5,Pedidos!$K$5:$K$304,"📦 Pedido (esperando)")+COUNTIFS(Pedidos!$D$5:$D$304,$B5,Pedidos!$K$5:$K$304,"🐢 Retrasado")+COUNTIFS(Pedidos!$D$5:$D$304,$B5,Pedidos!$K$5:$K$304,"🧩 Llegó incompleto"))</f>
        <v>2</v>
      </c>
      <c r="D5" s="100" t="n">
        <f aca="false">IF($B5="","",COUNTIFS(Pedidos!$D$5:$D$304,$B5,Pedidos!$K$5:$K$304,"🐢 Retrasado"))</f>
        <v>0</v>
      </c>
      <c r="E5" s="100" t="n">
        <f aca="false">IF($B5="","",COUNTIFS(Pedidos!$D$5:$D$304,$B5,Pedidos!$K$5:$K$304,"⚠️ Llegó con incidencia"))</f>
        <v>1</v>
      </c>
      <c r="F5" s="101" t="n">
        <f aca="false">IF($B5="","",SUMIFS(Pedidos!$U$5:$U$304,Pedidos!$D$5:$D$304,$B5))</f>
        <v>46</v>
      </c>
      <c r="G5" s="101" t="n">
        <f aca="true">IF($B5="","",SUMIFS(Pedidos!$I$5:$I$304,Pedidos!$D$5:$D$304,$B5,Pedidos!$C$5:$C$304,"&gt;="&amp;DATE(YEAR(TODAY()),MONTH(TODAY()),1),Pedidos!$K$5:$K$304,"&lt;&gt;✖️ Anulado"))</f>
        <v>134.5</v>
      </c>
      <c r="H5" s="101" t="n">
        <f aca="true">IF($B5="","",SUMIFS(Pedidos!$I$5:$I$304,Pedidos!$D$5:$D$304,$B5,Pedidos!$C$5:$C$304,"&gt;="&amp;DATE(YEAR(TODAY()),1,1),Pedidos!$K$5:$K$304,"&lt;&gt;✖️ Anulado"))</f>
        <v>180.5</v>
      </c>
      <c r="I5" s="102" t="n">
        <f aca="false">IF($B5="","",IFERROR(AVERAGEIFS(Pedidos!$S$5:$S$304,Pedidos!$D$5:$D$304,$B5),""))</f>
        <v>5</v>
      </c>
      <c r="J5" s="100" t="n">
        <f aca="false">IF(OR($B5="",Listas!$E$5=""),"",Listas!$E$5)</f>
        <v>5</v>
      </c>
      <c r="K5" s="100" t="n">
        <f aca="false">IF($B5="","",COUNTIFS(Pedidos!$D$5:$D$304,$B5,Pedidos!$O$5:$O$304,"&lt;&gt;",Pedidos!$L$5:$L$304,"&gt;0"))</f>
        <v>1</v>
      </c>
      <c r="L5" s="103" t="n">
        <f aca="false">IF(OR($B5="",N(G5)&lt;=0),"",G5+ROW()/1000000)</f>
        <v>134.500005</v>
      </c>
    </row>
    <row r="6" customFormat="false" ht="21" hidden="false" customHeight="true" outlineLevel="0" collapsed="false">
      <c r="B6" s="104" t="str">
        <f aca="false">IF(Listas!$B$6="","",Listas!$B$6)</f>
        <v>Suministros Beta</v>
      </c>
      <c r="C6" s="105" t="n">
        <f aca="false">IF($B6="","",COUNTIFS(Pedidos!$D$5:$D$304,$B6,Pedidos!$K$5:$K$304,"🛒 Por pedir")+COUNTIFS(Pedidos!$D$5:$D$304,$B6,Pedidos!$K$5:$K$304,"📦 Pedido (esperando)")+COUNTIFS(Pedidos!$D$5:$D$304,$B6,Pedidos!$K$5:$K$304,"🐢 Retrasado")+COUNTIFS(Pedidos!$D$5:$D$304,$B6,Pedidos!$K$5:$K$304,"🧩 Llegó incompleto"))</f>
        <v>2</v>
      </c>
      <c r="D6" s="105" t="n">
        <f aca="false">IF($B6="","",COUNTIFS(Pedidos!$D$5:$D$304,$B6,Pedidos!$K$5:$K$304,"🐢 Retrasado"))</f>
        <v>0</v>
      </c>
      <c r="E6" s="105" t="n">
        <f aca="false">IF($B6="","",COUNTIFS(Pedidos!$D$5:$D$304,$B6,Pedidos!$K$5:$K$304,"⚠️ Llegó con incidencia"))</f>
        <v>0</v>
      </c>
      <c r="F6" s="106" t="n">
        <f aca="false">IF($B6="","",SUMIFS(Pedidos!$U$5:$U$304,Pedidos!$D$5:$D$304,$B6))</f>
        <v>39</v>
      </c>
      <c r="G6" s="106" t="n">
        <f aca="true">IF($B6="","",SUMIFS(Pedidos!$I$5:$I$304,Pedidos!$D$5:$D$304,$B6,Pedidos!$C$5:$C$304,"&gt;="&amp;DATE(YEAR(TODAY()),MONTH(TODAY()),1),Pedidos!$K$5:$K$304,"&lt;&gt;✖️ Anulado"))</f>
        <v>65</v>
      </c>
      <c r="H6" s="106" t="n">
        <f aca="true">IF($B6="","",SUMIFS(Pedidos!$I$5:$I$304,Pedidos!$D$5:$D$304,$B6,Pedidos!$C$5:$C$304,"&gt;="&amp;DATE(YEAR(TODAY()),1,1),Pedidos!$K$5:$K$304,"&lt;&gt;✖️ Anulado"))</f>
        <v>65</v>
      </c>
      <c r="I6" s="107" t="n">
        <f aca="false">IF($B6="","",IFERROR(AVERAGEIFS(Pedidos!$S$5:$S$304,Pedidos!$D$5:$D$304,$B6),""))</f>
        <v>4</v>
      </c>
      <c r="J6" s="105" t="n">
        <f aca="false">IF(OR($B6="",Listas!$E$6=""),"",Listas!$E$6)</f>
        <v>3</v>
      </c>
      <c r="K6" s="105" t="n">
        <f aca="false">IF($B6="","",COUNTIFS(Pedidos!$D$5:$D$304,$B6,Pedidos!$O$5:$O$304,"&lt;&gt;",Pedidos!$L$5:$L$304,"&gt;0"))</f>
        <v>1</v>
      </c>
      <c r="L6" s="103" t="n">
        <f aca="false">IF(OR($B6="",N(G6)&lt;=0),"",G6+ROW()/1000000)</f>
        <v>65.000006</v>
      </c>
    </row>
    <row r="7" customFormat="false" ht="21" hidden="false" customHeight="true" outlineLevel="0" collapsed="false">
      <c r="B7" s="99" t="str">
        <f aca="false">IF(Listas!$B$7="","",Listas!$B$7)</f>
        <v>Mayorista Gamma</v>
      </c>
      <c r="C7" s="100" t="n">
        <f aca="false">IF($B7="","",COUNTIFS(Pedidos!$D$5:$D$304,$B7,Pedidos!$K$5:$K$304,"🛒 Por pedir")+COUNTIFS(Pedidos!$D$5:$D$304,$B7,Pedidos!$K$5:$K$304,"📦 Pedido (esperando)")+COUNTIFS(Pedidos!$D$5:$D$304,$B7,Pedidos!$K$5:$K$304,"🐢 Retrasado")+COUNTIFS(Pedidos!$D$5:$D$304,$B7,Pedidos!$K$5:$K$304,"🧩 Llegó incompleto"))</f>
        <v>1</v>
      </c>
      <c r="D7" s="100" t="n">
        <f aca="false">IF($B7="","",COUNTIFS(Pedidos!$D$5:$D$304,$B7,Pedidos!$K$5:$K$304,"🐢 Retrasado"))</f>
        <v>1</v>
      </c>
      <c r="E7" s="100" t="n">
        <f aca="false">IF($B7="","",COUNTIFS(Pedidos!$D$5:$D$304,$B7,Pedidos!$K$5:$K$304,"⚠️ Llegó con incidencia"))</f>
        <v>0</v>
      </c>
      <c r="F7" s="101" t="n">
        <f aca="false">IF($B7="","",SUMIFS(Pedidos!$U$5:$U$304,Pedidos!$D$5:$D$304,$B7))</f>
        <v>0</v>
      </c>
      <c r="G7" s="101" t="n">
        <f aca="true">IF($B7="","",SUMIFS(Pedidos!$I$5:$I$304,Pedidos!$D$5:$D$304,$B7,Pedidos!$C$5:$C$304,"&gt;="&amp;DATE(YEAR(TODAY()),MONTH(TODAY()),1),Pedidos!$K$5:$K$304,"&lt;&gt;✖️ Anulado"))</f>
        <v>128</v>
      </c>
      <c r="H7" s="101" t="n">
        <f aca="true">IF($B7="","",SUMIFS(Pedidos!$I$5:$I$304,Pedidos!$D$5:$D$304,$B7,Pedidos!$C$5:$C$304,"&gt;="&amp;DATE(YEAR(TODAY()),1,1),Pedidos!$K$5:$K$304,"&lt;&gt;✖️ Anulado"))</f>
        <v>176</v>
      </c>
      <c r="I7" s="102" t="n">
        <f aca="false">IF($B7="","",IFERROR(AVERAGEIFS(Pedidos!$S$5:$S$304,Pedidos!$D$5:$D$304,$B7),""))</f>
        <v>4</v>
      </c>
      <c r="J7" s="100" t="n">
        <f aca="false">IF(OR($B7="",Listas!$E$7=""),"",Listas!$E$7)</f>
        <v>7</v>
      </c>
      <c r="K7" s="100" t="n">
        <f aca="false">IF($B7="","",COUNTIFS(Pedidos!$D$5:$D$304,$B7,Pedidos!$O$5:$O$304,"&lt;&gt;",Pedidos!$L$5:$L$304,"&gt;0"))</f>
        <v>0</v>
      </c>
      <c r="L7" s="103" t="n">
        <f aca="false">IF(OR($B7="",N(G7)&lt;=0),"",G7+ROW()/1000000)</f>
        <v>128.000007</v>
      </c>
    </row>
    <row r="8" customFormat="false" ht="21" hidden="false" customHeight="true" outlineLevel="0" collapsed="false">
      <c r="B8" s="104" t="str">
        <f aca="false">IF(Listas!$B$8="","",Listas!$B$8)</f>
        <v>Importaciones Omega</v>
      </c>
      <c r="C8" s="105" t="n">
        <f aca="false">IF($B8="","",COUNTIFS(Pedidos!$D$5:$D$304,$B8,Pedidos!$K$5:$K$304,"🛒 Por pedir")+COUNTIFS(Pedidos!$D$5:$D$304,$B8,Pedidos!$K$5:$K$304,"📦 Pedido (esperando)")+COUNTIFS(Pedidos!$D$5:$D$304,$B8,Pedidos!$K$5:$K$304,"🐢 Retrasado")+COUNTIFS(Pedidos!$D$5:$D$304,$B8,Pedidos!$K$5:$K$304,"🧩 Llegó incompleto"))</f>
        <v>1</v>
      </c>
      <c r="D8" s="105" t="n">
        <f aca="false">IF($B8="","",COUNTIFS(Pedidos!$D$5:$D$304,$B8,Pedidos!$K$5:$K$304,"🐢 Retrasado"))</f>
        <v>1</v>
      </c>
      <c r="E8" s="105" t="n">
        <f aca="false">IF($B8="","",COUNTIFS(Pedidos!$D$5:$D$304,$B8,Pedidos!$K$5:$K$304,"⚠️ Llegó con incidencia"))</f>
        <v>0</v>
      </c>
      <c r="F8" s="106" t="n">
        <f aca="false">IF($B8="","",SUMIFS(Pedidos!$U$5:$U$304,Pedidos!$D$5:$D$304,$B8))</f>
        <v>66</v>
      </c>
      <c r="G8" s="106" t="n">
        <f aca="true">IF($B8="","",SUMIFS(Pedidos!$I$5:$I$304,Pedidos!$D$5:$D$304,$B8,Pedidos!$C$5:$C$304,"&gt;="&amp;DATE(YEAR(TODAY()),MONTH(TODAY()),1),Pedidos!$K$5:$K$304,"&lt;&gt;✖️ Anulado"))</f>
        <v>113.4</v>
      </c>
      <c r="H8" s="106" t="n">
        <f aca="true">IF($B8="","",SUMIFS(Pedidos!$I$5:$I$304,Pedidos!$D$5:$D$304,$B8,Pedidos!$C$5:$C$304,"&gt;="&amp;DATE(YEAR(TODAY()),1,1),Pedidos!$K$5:$K$304,"&lt;&gt;✖️ Anulado"))</f>
        <v>113.4</v>
      </c>
      <c r="I8" s="107" t="n">
        <f aca="false">IF($B8="","",IFERROR(AVERAGEIFS(Pedidos!$S$5:$S$304,Pedidos!$D$5:$D$304,$B8),""))</f>
        <v>5</v>
      </c>
      <c r="J8" s="105" t="n">
        <f aca="false">IF(OR($B8="",Listas!$E$8=""),"",Listas!$E$8)</f>
        <v>7</v>
      </c>
      <c r="K8" s="105" t="n">
        <f aca="false">IF($B8="","",COUNTIFS(Pedidos!$D$5:$D$304,$B8,Pedidos!$O$5:$O$304,"&lt;&gt;",Pedidos!$L$5:$L$304,"&gt;0"))</f>
        <v>0</v>
      </c>
      <c r="L8" s="103" t="n">
        <f aca="false">IF(OR($B8="",N(G8)&lt;=0),"",G8+ROW()/1000000)</f>
        <v>113.400008</v>
      </c>
    </row>
    <row r="9" customFormat="false" ht="21" hidden="false" customHeight="true" outlineLevel="0" collapsed="false">
      <c r="B9" s="99" t="str">
        <f aca="false">IF(Listas!$B$9="","",Listas!$B$9)</f>
        <v/>
      </c>
      <c r="C9" s="100" t="str">
        <f aca="false">IF($B9="","",COUNTIFS(Pedidos!$D$5:$D$304,$B9,Pedidos!$K$5:$K$304,"🛒 Por pedir")+COUNTIFS(Pedidos!$D$5:$D$304,$B9,Pedidos!$K$5:$K$304,"📦 Pedido (esperando)")+COUNTIFS(Pedidos!$D$5:$D$304,$B9,Pedidos!$K$5:$K$304,"🐢 Retrasado")+COUNTIFS(Pedidos!$D$5:$D$304,$B9,Pedidos!$K$5:$K$304,"🧩 Llegó incompleto"))</f>
        <v/>
      </c>
      <c r="D9" s="100" t="str">
        <f aca="false">IF($B9="","",COUNTIFS(Pedidos!$D$5:$D$304,$B9,Pedidos!$K$5:$K$304,"🐢 Retrasado"))</f>
        <v/>
      </c>
      <c r="E9" s="100" t="str">
        <f aca="false">IF($B9="","",COUNTIFS(Pedidos!$D$5:$D$304,$B9,Pedidos!$K$5:$K$304,"⚠️ Llegó con incidencia"))</f>
        <v/>
      </c>
      <c r="F9" s="101" t="str">
        <f aca="false">IF($B9="","",SUMIFS(Pedidos!$U$5:$U$304,Pedidos!$D$5:$D$304,$B9))</f>
        <v/>
      </c>
      <c r="G9" s="101" t="str">
        <f aca="true">IF($B9="","",SUMIFS(Pedidos!$I$5:$I$304,Pedidos!$D$5:$D$304,$B9,Pedidos!$C$5:$C$304,"&gt;="&amp;DATE(YEAR(TODAY()),MONTH(TODAY()),1),Pedidos!$K$5:$K$304,"&lt;&gt;✖️ Anulado"))</f>
        <v/>
      </c>
      <c r="H9" s="101" t="str">
        <f aca="true">IF($B9="","",SUMIFS(Pedidos!$I$5:$I$304,Pedidos!$D$5:$D$304,$B9,Pedidos!$C$5:$C$304,"&gt;="&amp;DATE(YEAR(TODAY()),1,1),Pedidos!$K$5:$K$304,"&lt;&gt;✖️ Anulado"))</f>
        <v/>
      </c>
      <c r="I9" s="102" t="str">
        <f aca="false">IF($B9="","",IFERROR(AVERAGEIFS(Pedidos!$S$5:$S$304,Pedidos!$D$5:$D$304,$B9),""))</f>
        <v/>
      </c>
      <c r="J9" s="100" t="str">
        <f aca="false">IF(OR($B9="",Listas!$E$9=""),"",Listas!$E$9)</f>
        <v/>
      </c>
      <c r="K9" s="100" t="str">
        <f aca="false">IF($B9="","",COUNTIFS(Pedidos!$D$5:$D$304,$B9,Pedidos!$O$5:$O$304,"&lt;&gt;",Pedidos!$L$5:$L$304,"&gt;0"))</f>
        <v/>
      </c>
      <c r="L9" s="103" t="str">
        <f aca="false">IF(OR($B9="",N(G9)&lt;=0),"",G9+ROW()/1000000)</f>
        <v/>
      </c>
    </row>
    <row r="10" customFormat="false" ht="21" hidden="false" customHeight="true" outlineLevel="0" collapsed="false">
      <c r="B10" s="104" t="str">
        <f aca="false">IF(Listas!$B$10="","",Listas!$B$10)</f>
        <v/>
      </c>
      <c r="C10" s="105" t="str">
        <f aca="false">IF($B10="","",COUNTIFS(Pedidos!$D$5:$D$304,$B10,Pedidos!$K$5:$K$304,"🛒 Por pedir")+COUNTIFS(Pedidos!$D$5:$D$304,$B10,Pedidos!$K$5:$K$304,"📦 Pedido (esperando)")+COUNTIFS(Pedidos!$D$5:$D$304,$B10,Pedidos!$K$5:$K$304,"🐢 Retrasado")+COUNTIFS(Pedidos!$D$5:$D$304,$B10,Pedidos!$K$5:$K$304,"🧩 Llegó incompleto"))</f>
        <v/>
      </c>
      <c r="D10" s="105" t="str">
        <f aca="false">IF($B10="","",COUNTIFS(Pedidos!$D$5:$D$304,$B10,Pedidos!$K$5:$K$304,"🐢 Retrasado"))</f>
        <v/>
      </c>
      <c r="E10" s="105" t="str">
        <f aca="false">IF($B10="","",COUNTIFS(Pedidos!$D$5:$D$304,$B10,Pedidos!$K$5:$K$304,"⚠️ Llegó con incidencia"))</f>
        <v/>
      </c>
      <c r="F10" s="106" t="str">
        <f aca="false">IF($B10="","",SUMIFS(Pedidos!$U$5:$U$304,Pedidos!$D$5:$D$304,$B10))</f>
        <v/>
      </c>
      <c r="G10" s="106" t="str">
        <f aca="true">IF($B10="","",SUMIFS(Pedidos!$I$5:$I$304,Pedidos!$D$5:$D$304,$B10,Pedidos!$C$5:$C$304,"&gt;="&amp;DATE(YEAR(TODAY()),MONTH(TODAY()),1),Pedidos!$K$5:$K$304,"&lt;&gt;✖️ Anulado"))</f>
        <v/>
      </c>
      <c r="H10" s="106" t="str">
        <f aca="true">IF($B10="","",SUMIFS(Pedidos!$I$5:$I$304,Pedidos!$D$5:$D$304,$B10,Pedidos!$C$5:$C$304,"&gt;="&amp;DATE(YEAR(TODAY()),1,1),Pedidos!$K$5:$K$304,"&lt;&gt;✖️ Anulado"))</f>
        <v/>
      </c>
      <c r="I10" s="107" t="str">
        <f aca="false">IF($B10="","",IFERROR(AVERAGEIFS(Pedidos!$S$5:$S$304,Pedidos!$D$5:$D$304,$B10),""))</f>
        <v/>
      </c>
      <c r="J10" s="105" t="str">
        <f aca="false">IF(OR($B10="",Listas!$E$10=""),"",Listas!$E$10)</f>
        <v/>
      </c>
      <c r="K10" s="105" t="str">
        <f aca="false">IF($B10="","",COUNTIFS(Pedidos!$D$5:$D$304,$B10,Pedidos!$O$5:$O$304,"&lt;&gt;",Pedidos!$L$5:$L$304,"&gt;0"))</f>
        <v/>
      </c>
      <c r="L10" s="103" t="str">
        <f aca="false">IF(OR($B10="",N(G10)&lt;=0),"",G10+ROW()/1000000)</f>
        <v/>
      </c>
    </row>
    <row r="11" customFormat="false" ht="21" hidden="false" customHeight="true" outlineLevel="0" collapsed="false">
      <c r="B11" s="99" t="str">
        <f aca="false">IF(Listas!$B$11="","",Listas!$B$11)</f>
        <v/>
      </c>
      <c r="C11" s="100" t="str">
        <f aca="false">IF($B11="","",COUNTIFS(Pedidos!$D$5:$D$304,$B11,Pedidos!$K$5:$K$304,"🛒 Por pedir")+COUNTIFS(Pedidos!$D$5:$D$304,$B11,Pedidos!$K$5:$K$304,"📦 Pedido (esperando)")+COUNTIFS(Pedidos!$D$5:$D$304,$B11,Pedidos!$K$5:$K$304,"🐢 Retrasado")+COUNTIFS(Pedidos!$D$5:$D$304,$B11,Pedidos!$K$5:$K$304,"🧩 Llegó incompleto"))</f>
        <v/>
      </c>
      <c r="D11" s="100" t="str">
        <f aca="false">IF($B11="","",COUNTIFS(Pedidos!$D$5:$D$304,$B11,Pedidos!$K$5:$K$304,"🐢 Retrasado"))</f>
        <v/>
      </c>
      <c r="E11" s="100" t="str">
        <f aca="false">IF($B11="","",COUNTIFS(Pedidos!$D$5:$D$304,$B11,Pedidos!$K$5:$K$304,"⚠️ Llegó con incidencia"))</f>
        <v/>
      </c>
      <c r="F11" s="101" t="str">
        <f aca="false">IF($B11="","",SUMIFS(Pedidos!$U$5:$U$304,Pedidos!$D$5:$D$304,$B11))</f>
        <v/>
      </c>
      <c r="G11" s="101" t="str">
        <f aca="true">IF($B11="","",SUMIFS(Pedidos!$I$5:$I$304,Pedidos!$D$5:$D$304,$B11,Pedidos!$C$5:$C$304,"&gt;="&amp;DATE(YEAR(TODAY()),MONTH(TODAY()),1),Pedidos!$K$5:$K$304,"&lt;&gt;✖️ Anulado"))</f>
        <v/>
      </c>
      <c r="H11" s="101" t="str">
        <f aca="true">IF($B11="","",SUMIFS(Pedidos!$I$5:$I$304,Pedidos!$D$5:$D$304,$B11,Pedidos!$C$5:$C$304,"&gt;="&amp;DATE(YEAR(TODAY()),1,1),Pedidos!$K$5:$K$304,"&lt;&gt;✖️ Anulado"))</f>
        <v/>
      </c>
      <c r="I11" s="102" t="str">
        <f aca="false">IF($B11="","",IFERROR(AVERAGEIFS(Pedidos!$S$5:$S$304,Pedidos!$D$5:$D$304,$B11),""))</f>
        <v/>
      </c>
      <c r="J11" s="100" t="str">
        <f aca="false">IF(OR($B11="",Listas!$E$11=""),"",Listas!$E$11)</f>
        <v/>
      </c>
      <c r="K11" s="100" t="str">
        <f aca="false">IF($B11="","",COUNTIFS(Pedidos!$D$5:$D$304,$B11,Pedidos!$O$5:$O$304,"&lt;&gt;",Pedidos!$L$5:$L$304,"&gt;0"))</f>
        <v/>
      </c>
      <c r="L11" s="103" t="str">
        <f aca="false">IF(OR($B11="",N(G11)&lt;=0),"",G11+ROW()/1000000)</f>
        <v/>
      </c>
    </row>
    <row r="12" customFormat="false" ht="21" hidden="false" customHeight="true" outlineLevel="0" collapsed="false">
      <c r="B12" s="104" t="str">
        <f aca="false">IF(Listas!$B$12="","",Listas!$B$12)</f>
        <v/>
      </c>
      <c r="C12" s="105" t="str">
        <f aca="false">IF($B12="","",COUNTIFS(Pedidos!$D$5:$D$304,$B12,Pedidos!$K$5:$K$304,"🛒 Por pedir")+COUNTIFS(Pedidos!$D$5:$D$304,$B12,Pedidos!$K$5:$K$304,"📦 Pedido (esperando)")+COUNTIFS(Pedidos!$D$5:$D$304,$B12,Pedidos!$K$5:$K$304,"🐢 Retrasado")+COUNTIFS(Pedidos!$D$5:$D$304,$B12,Pedidos!$K$5:$K$304,"🧩 Llegó incompleto"))</f>
        <v/>
      </c>
      <c r="D12" s="105" t="str">
        <f aca="false">IF($B12="","",COUNTIFS(Pedidos!$D$5:$D$304,$B12,Pedidos!$K$5:$K$304,"🐢 Retrasado"))</f>
        <v/>
      </c>
      <c r="E12" s="105" t="str">
        <f aca="false">IF($B12="","",COUNTIFS(Pedidos!$D$5:$D$304,$B12,Pedidos!$K$5:$K$304,"⚠️ Llegó con incidencia"))</f>
        <v/>
      </c>
      <c r="F12" s="106" t="str">
        <f aca="false">IF($B12="","",SUMIFS(Pedidos!$U$5:$U$304,Pedidos!$D$5:$D$304,$B12))</f>
        <v/>
      </c>
      <c r="G12" s="106" t="str">
        <f aca="true">IF($B12="","",SUMIFS(Pedidos!$I$5:$I$304,Pedidos!$D$5:$D$304,$B12,Pedidos!$C$5:$C$304,"&gt;="&amp;DATE(YEAR(TODAY()),MONTH(TODAY()),1),Pedidos!$K$5:$K$304,"&lt;&gt;✖️ Anulado"))</f>
        <v/>
      </c>
      <c r="H12" s="106" t="str">
        <f aca="true">IF($B12="","",SUMIFS(Pedidos!$I$5:$I$304,Pedidos!$D$5:$D$304,$B12,Pedidos!$C$5:$C$304,"&gt;="&amp;DATE(YEAR(TODAY()),1,1),Pedidos!$K$5:$K$304,"&lt;&gt;✖️ Anulado"))</f>
        <v/>
      </c>
      <c r="I12" s="107" t="str">
        <f aca="false">IF($B12="","",IFERROR(AVERAGEIFS(Pedidos!$S$5:$S$304,Pedidos!$D$5:$D$304,$B12),""))</f>
        <v/>
      </c>
      <c r="J12" s="105" t="str">
        <f aca="false">IF(OR($B12="",Listas!$E$12=""),"",Listas!$E$12)</f>
        <v/>
      </c>
      <c r="K12" s="105" t="str">
        <f aca="false">IF($B12="","",COUNTIFS(Pedidos!$D$5:$D$304,$B12,Pedidos!$O$5:$O$304,"&lt;&gt;",Pedidos!$L$5:$L$304,"&gt;0"))</f>
        <v/>
      </c>
      <c r="L12" s="103" t="str">
        <f aca="false">IF(OR($B12="",N(G12)&lt;=0),"",G12+ROW()/1000000)</f>
        <v/>
      </c>
    </row>
    <row r="13" customFormat="false" ht="21" hidden="false" customHeight="true" outlineLevel="0" collapsed="false">
      <c r="B13" s="99" t="str">
        <f aca="false">IF(Listas!$B$13="","",Listas!$B$13)</f>
        <v/>
      </c>
      <c r="C13" s="100" t="str">
        <f aca="false">IF($B13="","",COUNTIFS(Pedidos!$D$5:$D$304,$B13,Pedidos!$K$5:$K$304,"🛒 Por pedir")+COUNTIFS(Pedidos!$D$5:$D$304,$B13,Pedidos!$K$5:$K$304,"📦 Pedido (esperando)")+COUNTIFS(Pedidos!$D$5:$D$304,$B13,Pedidos!$K$5:$K$304,"🐢 Retrasado")+COUNTIFS(Pedidos!$D$5:$D$304,$B13,Pedidos!$K$5:$K$304,"🧩 Llegó incompleto"))</f>
        <v/>
      </c>
      <c r="D13" s="100" t="str">
        <f aca="false">IF($B13="","",COUNTIFS(Pedidos!$D$5:$D$304,$B13,Pedidos!$K$5:$K$304,"🐢 Retrasado"))</f>
        <v/>
      </c>
      <c r="E13" s="100" t="str">
        <f aca="false">IF($B13="","",COUNTIFS(Pedidos!$D$5:$D$304,$B13,Pedidos!$K$5:$K$304,"⚠️ Llegó con incidencia"))</f>
        <v/>
      </c>
      <c r="F13" s="101" t="str">
        <f aca="false">IF($B13="","",SUMIFS(Pedidos!$U$5:$U$304,Pedidos!$D$5:$D$304,$B13))</f>
        <v/>
      </c>
      <c r="G13" s="101" t="str">
        <f aca="true">IF($B13="","",SUMIFS(Pedidos!$I$5:$I$304,Pedidos!$D$5:$D$304,$B13,Pedidos!$C$5:$C$304,"&gt;="&amp;DATE(YEAR(TODAY()),MONTH(TODAY()),1),Pedidos!$K$5:$K$304,"&lt;&gt;✖️ Anulado"))</f>
        <v/>
      </c>
      <c r="H13" s="101" t="str">
        <f aca="true">IF($B13="","",SUMIFS(Pedidos!$I$5:$I$304,Pedidos!$D$5:$D$304,$B13,Pedidos!$C$5:$C$304,"&gt;="&amp;DATE(YEAR(TODAY()),1,1),Pedidos!$K$5:$K$304,"&lt;&gt;✖️ Anulado"))</f>
        <v/>
      </c>
      <c r="I13" s="102" t="str">
        <f aca="false">IF($B13="","",IFERROR(AVERAGEIFS(Pedidos!$S$5:$S$304,Pedidos!$D$5:$D$304,$B13),""))</f>
        <v/>
      </c>
      <c r="J13" s="100" t="str">
        <f aca="false">IF(OR($B13="",Listas!$E$13=""),"",Listas!$E$13)</f>
        <v/>
      </c>
      <c r="K13" s="100" t="str">
        <f aca="false">IF($B13="","",COUNTIFS(Pedidos!$D$5:$D$304,$B13,Pedidos!$O$5:$O$304,"&lt;&gt;",Pedidos!$L$5:$L$304,"&gt;0"))</f>
        <v/>
      </c>
      <c r="L13" s="103" t="str">
        <f aca="false">IF(OR($B13="",N(G13)&lt;=0),"",G13+ROW()/1000000)</f>
        <v/>
      </c>
    </row>
    <row r="14" customFormat="false" ht="21" hidden="false" customHeight="true" outlineLevel="0" collapsed="false">
      <c r="B14" s="104" t="str">
        <f aca="false">IF(Listas!$B$14="","",Listas!$B$14)</f>
        <v/>
      </c>
      <c r="C14" s="105" t="str">
        <f aca="false">IF($B14="","",COUNTIFS(Pedidos!$D$5:$D$304,$B14,Pedidos!$K$5:$K$304,"🛒 Por pedir")+COUNTIFS(Pedidos!$D$5:$D$304,$B14,Pedidos!$K$5:$K$304,"📦 Pedido (esperando)")+COUNTIFS(Pedidos!$D$5:$D$304,$B14,Pedidos!$K$5:$K$304,"🐢 Retrasado")+COUNTIFS(Pedidos!$D$5:$D$304,$B14,Pedidos!$K$5:$K$304,"🧩 Llegó incompleto"))</f>
        <v/>
      </c>
      <c r="D14" s="105" t="str">
        <f aca="false">IF($B14="","",COUNTIFS(Pedidos!$D$5:$D$304,$B14,Pedidos!$K$5:$K$304,"🐢 Retrasado"))</f>
        <v/>
      </c>
      <c r="E14" s="105" t="str">
        <f aca="false">IF($B14="","",COUNTIFS(Pedidos!$D$5:$D$304,$B14,Pedidos!$K$5:$K$304,"⚠️ Llegó con incidencia"))</f>
        <v/>
      </c>
      <c r="F14" s="106" t="str">
        <f aca="false">IF($B14="","",SUMIFS(Pedidos!$U$5:$U$304,Pedidos!$D$5:$D$304,$B14))</f>
        <v/>
      </c>
      <c r="G14" s="106" t="str">
        <f aca="true">IF($B14="","",SUMIFS(Pedidos!$I$5:$I$304,Pedidos!$D$5:$D$304,$B14,Pedidos!$C$5:$C$304,"&gt;="&amp;DATE(YEAR(TODAY()),MONTH(TODAY()),1),Pedidos!$K$5:$K$304,"&lt;&gt;✖️ Anulado"))</f>
        <v/>
      </c>
      <c r="H14" s="106" t="str">
        <f aca="true">IF($B14="","",SUMIFS(Pedidos!$I$5:$I$304,Pedidos!$D$5:$D$304,$B14,Pedidos!$C$5:$C$304,"&gt;="&amp;DATE(YEAR(TODAY()),1,1),Pedidos!$K$5:$K$304,"&lt;&gt;✖️ Anulado"))</f>
        <v/>
      </c>
      <c r="I14" s="107" t="str">
        <f aca="false">IF($B14="","",IFERROR(AVERAGEIFS(Pedidos!$S$5:$S$304,Pedidos!$D$5:$D$304,$B14),""))</f>
        <v/>
      </c>
      <c r="J14" s="105" t="str">
        <f aca="false">IF(OR($B14="",Listas!$E$14=""),"",Listas!$E$14)</f>
        <v/>
      </c>
      <c r="K14" s="105" t="str">
        <f aca="false">IF($B14="","",COUNTIFS(Pedidos!$D$5:$D$304,$B14,Pedidos!$O$5:$O$304,"&lt;&gt;",Pedidos!$L$5:$L$304,"&gt;0"))</f>
        <v/>
      </c>
      <c r="L14" s="103" t="str">
        <f aca="false">IF(OR($B14="",N(G14)&lt;=0),"",G14+ROW()/1000000)</f>
        <v/>
      </c>
    </row>
    <row r="15" customFormat="false" ht="21" hidden="false" customHeight="true" outlineLevel="0" collapsed="false">
      <c r="B15" s="99" t="str">
        <f aca="false">IF(Listas!$B$15="","",Listas!$B$15)</f>
        <v/>
      </c>
      <c r="C15" s="100" t="str">
        <f aca="false">IF($B15="","",COUNTIFS(Pedidos!$D$5:$D$304,$B15,Pedidos!$K$5:$K$304,"🛒 Por pedir")+COUNTIFS(Pedidos!$D$5:$D$304,$B15,Pedidos!$K$5:$K$304,"📦 Pedido (esperando)")+COUNTIFS(Pedidos!$D$5:$D$304,$B15,Pedidos!$K$5:$K$304,"🐢 Retrasado")+COUNTIFS(Pedidos!$D$5:$D$304,$B15,Pedidos!$K$5:$K$304,"🧩 Llegó incompleto"))</f>
        <v/>
      </c>
      <c r="D15" s="100" t="str">
        <f aca="false">IF($B15="","",COUNTIFS(Pedidos!$D$5:$D$304,$B15,Pedidos!$K$5:$K$304,"🐢 Retrasado"))</f>
        <v/>
      </c>
      <c r="E15" s="100" t="str">
        <f aca="false">IF($B15="","",COUNTIFS(Pedidos!$D$5:$D$304,$B15,Pedidos!$K$5:$K$304,"⚠️ Llegó con incidencia"))</f>
        <v/>
      </c>
      <c r="F15" s="101" t="str">
        <f aca="false">IF($B15="","",SUMIFS(Pedidos!$U$5:$U$304,Pedidos!$D$5:$D$304,$B15))</f>
        <v/>
      </c>
      <c r="G15" s="101" t="str">
        <f aca="true">IF($B15="","",SUMIFS(Pedidos!$I$5:$I$304,Pedidos!$D$5:$D$304,$B15,Pedidos!$C$5:$C$304,"&gt;="&amp;DATE(YEAR(TODAY()),MONTH(TODAY()),1),Pedidos!$K$5:$K$304,"&lt;&gt;✖️ Anulado"))</f>
        <v/>
      </c>
      <c r="H15" s="101" t="str">
        <f aca="true">IF($B15="","",SUMIFS(Pedidos!$I$5:$I$304,Pedidos!$D$5:$D$304,$B15,Pedidos!$C$5:$C$304,"&gt;="&amp;DATE(YEAR(TODAY()),1,1),Pedidos!$K$5:$K$304,"&lt;&gt;✖️ Anulado"))</f>
        <v/>
      </c>
      <c r="I15" s="102" t="str">
        <f aca="false">IF($B15="","",IFERROR(AVERAGEIFS(Pedidos!$S$5:$S$304,Pedidos!$D$5:$D$304,$B15),""))</f>
        <v/>
      </c>
      <c r="J15" s="100" t="str">
        <f aca="false">IF(OR($B15="",Listas!$E$15=""),"",Listas!$E$15)</f>
        <v/>
      </c>
      <c r="K15" s="100" t="str">
        <f aca="false">IF($B15="","",COUNTIFS(Pedidos!$D$5:$D$304,$B15,Pedidos!$O$5:$O$304,"&lt;&gt;",Pedidos!$L$5:$L$304,"&gt;0"))</f>
        <v/>
      </c>
      <c r="L15" s="103" t="str">
        <f aca="false">IF(OR($B15="",N(G15)&lt;=0),"",G15+ROW()/1000000)</f>
        <v/>
      </c>
    </row>
    <row r="16" customFormat="false" ht="21" hidden="false" customHeight="true" outlineLevel="0" collapsed="false">
      <c r="B16" s="104" t="str">
        <f aca="false">IF(Listas!$B$16="","",Listas!$B$16)</f>
        <v/>
      </c>
      <c r="C16" s="105" t="str">
        <f aca="false">IF($B16="","",COUNTIFS(Pedidos!$D$5:$D$304,$B16,Pedidos!$K$5:$K$304,"🛒 Por pedir")+COUNTIFS(Pedidos!$D$5:$D$304,$B16,Pedidos!$K$5:$K$304,"📦 Pedido (esperando)")+COUNTIFS(Pedidos!$D$5:$D$304,$B16,Pedidos!$K$5:$K$304,"🐢 Retrasado")+COUNTIFS(Pedidos!$D$5:$D$304,$B16,Pedidos!$K$5:$K$304,"🧩 Llegó incompleto"))</f>
        <v/>
      </c>
      <c r="D16" s="105" t="str">
        <f aca="false">IF($B16="","",COUNTIFS(Pedidos!$D$5:$D$304,$B16,Pedidos!$K$5:$K$304,"🐢 Retrasado"))</f>
        <v/>
      </c>
      <c r="E16" s="105" t="str">
        <f aca="false">IF($B16="","",COUNTIFS(Pedidos!$D$5:$D$304,$B16,Pedidos!$K$5:$K$304,"⚠️ Llegó con incidencia"))</f>
        <v/>
      </c>
      <c r="F16" s="106" t="str">
        <f aca="false">IF($B16="","",SUMIFS(Pedidos!$U$5:$U$304,Pedidos!$D$5:$D$304,$B16))</f>
        <v/>
      </c>
      <c r="G16" s="106" t="str">
        <f aca="true">IF($B16="","",SUMIFS(Pedidos!$I$5:$I$304,Pedidos!$D$5:$D$304,$B16,Pedidos!$C$5:$C$304,"&gt;="&amp;DATE(YEAR(TODAY()),MONTH(TODAY()),1),Pedidos!$K$5:$K$304,"&lt;&gt;✖️ Anulado"))</f>
        <v/>
      </c>
      <c r="H16" s="106" t="str">
        <f aca="true">IF($B16="","",SUMIFS(Pedidos!$I$5:$I$304,Pedidos!$D$5:$D$304,$B16,Pedidos!$C$5:$C$304,"&gt;="&amp;DATE(YEAR(TODAY()),1,1),Pedidos!$K$5:$K$304,"&lt;&gt;✖️ Anulado"))</f>
        <v/>
      </c>
      <c r="I16" s="107" t="str">
        <f aca="false">IF($B16="","",IFERROR(AVERAGEIFS(Pedidos!$S$5:$S$304,Pedidos!$D$5:$D$304,$B16),""))</f>
        <v/>
      </c>
      <c r="J16" s="105" t="str">
        <f aca="false">IF(OR($B16="",Listas!$E$16=""),"",Listas!$E$16)</f>
        <v/>
      </c>
      <c r="K16" s="105" t="str">
        <f aca="false">IF($B16="","",COUNTIFS(Pedidos!$D$5:$D$304,$B16,Pedidos!$O$5:$O$304,"&lt;&gt;",Pedidos!$L$5:$L$304,"&gt;0"))</f>
        <v/>
      </c>
      <c r="L16" s="103" t="str">
        <f aca="false">IF(OR($B16="",N(G16)&lt;=0),"",G16+ROW()/1000000)</f>
        <v/>
      </c>
    </row>
    <row r="17" customFormat="false" ht="21" hidden="false" customHeight="true" outlineLevel="0" collapsed="false">
      <c r="B17" s="99" t="str">
        <f aca="false">IF(Listas!$B$17="","",Listas!$B$17)</f>
        <v/>
      </c>
      <c r="C17" s="100" t="str">
        <f aca="false">IF($B17="","",COUNTIFS(Pedidos!$D$5:$D$304,$B17,Pedidos!$K$5:$K$304,"🛒 Por pedir")+COUNTIFS(Pedidos!$D$5:$D$304,$B17,Pedidos!$K$5:$K$304,"📦 Pedido (esperando)")+COUNTIFS(Pedidos!$D$5:$D$304,$B17,Pedidos!$K$5:$K$304,"🐢 Retrasado")+COUNTIFS(Pedidos!$D$5:$D$304,$B17,Pedidos!$K$5:$K$304,"🧩 Llegó incompleto"))</f>
        <v/>
      </c>
      <c r="D17" s="100" t="str">
        <f aca="false">IF($B17="","",COUNTIFS(Pedidos!$D$5:$D$304,$B17,Pedidos!$K$5:$K$304,"🐢 Retrasado"))</f>
        <v/>
      </c>
      <c r="E17" s="100" t="str">
        <f aca="false">IF($B17="","",COUNTIFS(Pedidos!$D$5:$D$304,$B17,Pedidos!$K$5:$K$304,"⚠️ Llegó con incidencia"))</f>
        <v/>
      </c>
      <c r="F17" s="101" t="str">
        <f aca="false">IF($B17="","",SUMIFS(Pedidos!$U$5:$U$304,Pedidos!$D$5:$D$304,$B17))</f>
        <v/>
      </c>
      <c r="G17" s="101" t="str">
        <f aca="true">IF($B17="","",SUMIFS(Pedidos!$I$5:$I$304,Pedidos!$D$5:$D$304,$B17,Pedidos!$C$5:$C$304,"&gt;="&amp;DATE(YEAR(TODAY()),MONTH(TODAY()),1),Pedidos!$K$5:$K$304,"&lt;&gt;✖️ Anulado"))</f>
        <v/>
      </c>
      <c r="H17" s="101" t="str">
        <f aca="true">IF($B17="","",SUMIFS(Pedidos!$I$5:$I$304,Pedidos!$D$5:$D$304,$B17,Pedidos!$C$5:$C$304,"&gt;="&amp;DATE(YEAR(TODAY()),1,1),Pedidos!$K$5:$K$304,"&lt;&gt;✖️ Anulado"))</f>
        <v/>
      </c>
      <c r="I17" s="102" t="str">
        <f aca="false">IF($B17="","",IFERROR(AVERAGEIFS(Pedidos!$S$5:$S$304,Pedidos!$D$5:$D$304,$B17),""))</f>
        <v/>
      </c>
      <c r="J17" s="100" t="str">
        <f aca="false">IF(OR($B17="",Listas!$E$17=""),"",Listas!$E$17)</f>
        <v/>
      </c>
      <c r="K17" s="100" t="str">
        <f aca="false">IF($B17="","",COUNTIFS(Pedidos!$D$5:$D$304,$B17,Pedidos!$O$5:$O$304,"&lt;&gt;",Pedidos!$L$5:$L$304,"&gt;0"))</f>
        <v/>
      </c>
      <c r="L17" s="103" t="str">
        <f aca="false">IF(OR($B17="",N(G17)&lt;=0),"",G17+ROW()/1000000)</f>
        <v/>
      </c>
    </row>
    <row r="18" customFormat="false" ht="21" hidden="false" customHeight="true" outlineLevel="0" collapsed="false">
      <c r="B18" s="104" t="str">
        <f aca="false">IF(Listas!$B$18="","",Listas!$B$18)</f>
        <v/>
      </c>
      <c r="C18" s="105" t="str">
        <f aca="false">IF($B18="","",COUNTIFS(Pedidos!$D$5:$D$304,$B18,Pedidos!$K$5:$K$304,"🛒 Por pedir")+COUNTIFS(Pedidos!$D$5:$D$304,$B18,Pedidos!$K$5:$K$304,"📦 Pedido (esperando)")+COUNTIFS(Pedidos!$D$5:$D$304,$B18,Pedidos!$K$5:$K$304,"🐢 Retrasado")+COUNTIFS(Pedidos!$D$5:$D$304,$B18,Pedidos!$K$5:$K$304,"🧩 Llegó incompleto"))</f>
        <v/>
      </c>
      <c r="D18" s="105" t="str">
        <f aca="false">IF($B18="","",COUNTIFS(Pedidos!$D$5:$D$304,$B18,Pedidos!$K$5:$K$304,"🐢 Retrasado"))</f>
        <v/>
      </c>
      <c r="E18" s="105" t="str">
        <f aca="false">IF($B18="","",COUNTIFS(Pedidos!$D$5:$D$304,$B18,Pedidos!$K$5:$K$304,"⚠️ Llegó con incidencia"))</f>
        <v/>
      </c>
      <c r="F18" s="106" t="str">
        <f aca="false">IF($B18="","",SUMIFS(Pedidos!$U$5:$U$304,Pedidos!$D$5:$D$304,$B18))</f>
        <v/>
      </c>
      <c r="G18" s="106" t="str">
        <f aca="true">IF($B18="","",SUMIFS(Pedidos!$I$5:$I$304,Pedidos!$D$5:$D$304,$B18,Pedidos!$C$5:$C$304,"&gt;="&amp;DATE(YEAR(TODAY()),MONTH(TODAY()),1),Pedidos!$K$5:$K$304,"&lt;&gt;✖️ Anulado"))</f>
        <v/>
      </c>
      <c r="H18" s="106" t="str">
        <f aca="true">IF($B18="","",SUMIFS(Pedidos!$I$5:$I$304,Pedidos!$D$5:$D$304,$B18,Pedidos!$C$5:$C$304,"&gt;="&amp;DATE(YEAR(TODAY()),1,1),Pedidos!$K$5:$K$304,"&lt;&gt;✖️ Anulado"))</f>
        <v/>
      </c>
      <c r="I18" s="107" t="str">
        <f aca="false">IF($B18="","",IFERROR(AVERAGEIFS(Pedidos!$S$5:$S$304,Pedidos!$D$5:$D$304,$B18),""))</f>
        <v/>
      </c>
      <c r="J18" s="105" t="str">
        <f aca="false">IF(OR($B18="",Listas!$E$18=""),"",Listas!$E$18)</f>
        <v/>
      </c>
      <c r="K18" s="105" t="str">
        <f aca="false">IF($B18="","",COUNTIFS(Pedidos!$D$5:$D$304,$B18,Pedidos!$O$5:$O$304,"&lt;&gt;",Pedidos!$L$5:$L$304,"&gt;0"))</f>
        <v/>
      </c>
      <c r="L18" s="103" t="str">
        <f aca="false">IF(OR($B18="",N(G18)&lt;=0),"",G18+ROW()/1000000)</f>
        <v/>
      </c>
    </row>
    <row r="19" customFormat="false" ht="21" hidden="false" customHeight="true" outlineLevel="0" collapsed="false">
      <c r="B19" s="99" t="str">
        <f aca="false">IF(Listas!$B$19="","",Listas!$B$19)</f>
        <v/>
      </c>
      <c r="C19" s="100" t="str">
        <f aca="false">IF($B19="","",COUNTIFS(Pedidos!$D$5:$D$304,$B19,Pedidos!$K$5:$K$304,"🛒 Por pedir")+COUNTIFS(Pedidos!$D$5:$D$304,$B19,Pedidos!$K$5:$K$304,"📦 Pedido (esperando)")+COUNTIFS(Pedidos!$D$5:$D$304,$B19,Pedidos!$K$5:$K$304,"🐢 Retrasado")+COUNTIFS(Pedidos!$D$5:$D$304,$B19,Pedidos!$K$5:$K$304,"🧩 Llegó incompleto"))</f>
        <v/>
      </c>
      <c r="D19" s="100" t="str">
        <f aca="false">IF($B19="","",COUNTIFS(Pedidos!$D$5:$D$304,$B19,Pedidos!$K$5:$K$304,"🐢 Retrasado"))</f>
        <v/>
      </c>
      <c r="E19" s="100" t="str">
        <f aca="false">IF($B19="","",COUNTIFS(Pedidos!$D$5:$D$304,$B19,Pedidos!$K$5:$K$304,"⚠️ Llegó con incidencia"))</f>
        <v/>
      </c>
      <c r="F19" s="101" t="str">
        <f aca="false">IF($B19="","",SUMIFS(Pedidos!$U$5:$U$304,Pedidos!$D$5:$D$304,$B19))</f>
        <v/>
      </c>
      <c r="G19" s="101" t="str">
        <f aca="true">IF($B19="","",SUMIFS(Pedidos!$I$5:$I$304,Pedidos!$D$5:$D$304,$B19,Pedidos!$C$5:$C$304,"&gt;="&amp;DATE(YEAR(TODAY()),MONTH(TODAY()),1),Pedidos!$K$5:$K$304,"&lt;&gt;✖️ Anulado"))</f>
        <v/>
      </c>
      <c r="H19" s="101" t="str">
        <f aca="true">IF($B19="","",SUMIFS(Pedidos!$I$5:$I$304,Pedidos!$D$5:$D$304,$B19,Pedidos!$C$5:$C$304,"&gt;="&amp;DATE(YEAR(TODAY()),1,1),Pedidos!$K$5:$K$304,"&lt;&gt;✖️ Anulado"))</f>
        <v/>
      </c>
      <c r="I19" s="102" t="str">
        <f aca="false">IF($B19="","",IFERROR(AVERAGEIFS(Pedidos!$S$5:$S$304,Pedidos!$D$5:$D$304,$B19),""))</f>
        <v/>
      </c>
      <c r="J19" s="100" t="str">
        <f aca="false">IF(OR($B19="",Listas!$E$19=""),"",Listas!$E$19)</f>
        <v/>
      </c>
      <c r="K19" s="100" t="str">
        <f aca="false">IF($B19="","",COUNTIFS(Pedidos!$D$5:$D$304,$B19,Pedidos!$O$5:$O$304,"&lt;&gt;",Pedidos!$L$5:$L$304,"&gt;0"))</f>
        <v/>
      </c>
      <c r="L19" s="103" t="str">
        <f aca="false">IF(OR($B19="",N(G19)&lt;=0),"",G19+ROW()/1000000)</f>
        <v/>
      </c>
    </row>
    <row r="20" customFormat="false" ht="21" hidden="false" customHeight="true" outlineLevel="0" collapsed="false">
      <c r="B20" s="104" t="str">
        <f aca="false">IF(Listas!$B$20="","",Listas!$B$20)</f>
        <v/>
      </c>
      <c r="C20" s="105" t="str">
        <f aca="false">IF($B20="","",COUNTIFS(Pedidos!$D$5:$D$304,$B20,Pedidos!$K$5:$K$304,"🛒 Por pedir")+COUNTIFS(Pedidos!$D$5:$D$304,$B20,Pedidos!$K$5:$K$304,"📦 Pedido (esperando)")+COUNTIFS(Pedidos!$D$5:$D$304,$B20,Pedidos!$K$5:$K$304,"🐢 Retrasado")+COUNTIFS(Pedidos!$D$5:$D$304,$B20,Pedidos!$K$5:$K$304,"🧩 Llegó incompleto"))</f>
        <v/>
      </c>
      <c r="D20" s="105" t="str">
        <f aca="false">IF($B20="","",COUNTIFS(Pedidos!$D$5:$D$304,$B20,Pedidos!$K$5:$K$304,"🐢 Retrasado"))</f>
        <v/>
      </c>
      <c r="E20" s="105" t="str">
        <f aca="false">IF($B20="","",COUNTIFS(Pedidos!$D$5:$D$304,$B20,Pedidos!$K$5:$K$304,"⚠️ Llegó con incidencia"))</f>
        <v/>
      </c>
      <c r="F20" s="106" t="str">
        <f aca="false">IF($B20="","",SUMIFS(Pedidos!$U$5:$U$304,Pedidos!$D$5:$D$304,$B20))</f>
        <v/>
      </c>
      <c r="G20" s="106" t="str">
        <f aca="true">IF($B20="","",SUMIFS(Pedidos!$I$5:$I$304,Pedidos!$D$5:$D$304,$B20,Pedidos!$C$5:$C$304,"&gt;="&amp;DATE(YEAR(TODAY()),MONTH(TODAY()),1),Pedidos!$K$5:$K$304,"&lt;&gt;✖️ Anulado"))</f>
        <v/>
      </c>
      <c r="H20" s="106" t="str">
        <f aca="true">IF($B20="","",SUMIFS(Pedidos!$I$5:$I$304,Pedidos!$D$5:$D$304,$B20,Pedidos!$C$5:$C$304,"&gt;="&amp;DATE(YEAR(TODAY()),1,1),Pedidos!$K$5:$K$304,"&lt;&gt;✖️ Anulado"))</f>
        <v/>
      </c>
      <c r="I20" s="107" t="str">
        <f aca="false">IF($B20="","",IFERROR(AVERAGEIFS(Pedidos!$S$5:$S$304,Pedidos!$D$5:$D$304,$B20),""))</f>
        <v/>
      </c>
      <c r="J20" s="105" t="str">
        <f aca="false">IF(OR($B20="",Listas!$E$20=""),"",Listas!$E$20)</f>
        <v/>
      </c>
      <c r="K20" s="105" t="str">
        <f aca="false">IF($B20="","",COUNTIFS(Pedidos!$D$5:$D$304,$B20,Pedidos!$O$5:$O$304,"&lt;&gt;",Pedidos!$L$5:$L$304,"&gt;0"))</f>
        <v/>
      </c>
      <c r="L20" s="103" t="str">
        <f aca="false">IF(OR($B20="",N(G20)&lt;=0),"",G20+ROW()/1000000)</f>
        <v/>
      </c>
    </row>
    <row r="21" customFormat="false" ht="21" hidden="false" customHeight="true" outlineLevel="0" collapsed="false">
      <c r="B21" s="99" t="str">
        <f aca="false">IF(Listas!$B$21="","",Listas!$B$21)</f>
        <v/>
      </c>
      <c r="C21" s="100" t="str">
        <f aca="false">IF($B21="","",COUNTIFS(Pedidos!$D$5:$D$304,$B21,Pedidos!$K$5:$K$304,"🛒 Por pedir")+COUNTIFS(Pedidos!$D$5:$D$304,$B21,Pedidos!$K$5:$K$304,"📦 Pedido (esperando)")+COUNTIFS(Pedidos!$D$5:$D$304,$B21,Pedidos!$K$5:$K$304,"🐢 Retrasado")+COUNTIFS(Pedidos!$D$5:$D$304,$B21,Pedidos!$K$5:$K$304,"🧩 Llegó incompleto"))</f>
        <v/>
      </c>
      <c r="D21" s="100" t="str">
        <f aca="false">IF($B21="","",COUNTIFS(Pedidos!$D$5:$D$304,$B21,Pedidos!$K$5:$K$304,"🐢 Retrasado"))</f>
        <v/>
      </c>
      <c r="E21" s="100" t="str">
        <f aca="false">IF($B21="","",COUNTIFS(Pedidos!$D$5:$D$304,$B21,Pedidos!$K$5:$K$304,"⚠️ Llegó con incidencia"))</f>
        <v/>
      </c>
      <c r="F21" s="101" t="str">
        <f aca="false">IF($B21="","",SUMIFS(Pedidos!$U$5:$U$304,Pedidos!$D$5:$D$304,$B21))</f>
        <v/>
      </c>
      <c r="G21" s="101" t="str">
        <f aca="true">IF($B21="","",SUMIFS(Pedidos!$I$5:$I$304,Pedidos!$D$5:$D$304,$B21,Pedidos!$C$5:$C$304,"&gt;="&amp;DATE(YEAR(TODAY()),MONTH(TODAY()),1),Pedidos!$K$5:$K$304,"&lt;&gt;✖️ Anulado"))</f>
        <v/>
      </c>
      <c r="H21" s="101" t="str">
        <f aca="true">IF($B21="","",SUMIFS(Pedidos!$I$5:$I$304,Pedidos!$D$5:$D$304,$B21,Pedidos!$C$5:$C$304,"&gt;="&amp;DATE(YEAR(TODAY()),1,1),Pedidos!$K$5:$K$304,"&lt;&gt;✖️ Anulado"))</f>
        <v/>
      </c>
      <c r="I21" s="102" t="str">
        <f aca="false">IF($B21="","",IFERROR(AVERAGEIFS(Pedidos!$S$5:$S$304,Pedidos!$D$5:$D$304,$B21),""))</f>
        <v/>
      </c>
      <c r="J21" s="100" t="str">
        <f aca="false">IF(OR($B21="",Listas!$E$21=""),"",Listas!$E$21)</f>
        <v/>
      </c>
      <c r="K21" s="100" t="str">
        <f aca="false">IF($B21="","",COUNTIFS(Pedidos!$D$5:$D$304,$B21,Pedidos!$O$5:$O$304,"&lt;&gt;",Pedidos!$L$5:$L$304,"&gt;0"))</f>
        <v/>
      </c>
      <c r="L21" s="103" t="str">
        <f aca="false">IF(OR($B21="",N(G21)&lt;=0),"",G21+ROW()/1000000)</f>
        <v/>
      </c>
    </row>
    <row r="22" customFormat="false" ht="21" hidden="false" customHeight="true" outlineLevel="0" collapsed="false">
      <c r="B22" s="104" t="str">
        <f aca="false">IF(Listas!$B$22="","",Listas!$B$22)</f>
        <v/>
      </c>
      <c r="C22" s="105" t="str">
        <f aca="false">IF($B22="","",COUNTIFS(Pedidos!$D$5:$D$304,$B22,Pedidos!$K$5:$K$304,"🛒 Por pedir")+COUNTIFS(Pedidos!$D$5:$D$304,$B22,Pedidos!$K$5:$K$304,"📦 Pedido (esperando)")+COUNTIFS(Pedidos!$D$5:$D$304,$B22,Pedidos!$K$5:$K$304,"🐢 Retrasado")+COUNTIFS(Pedidos!$D$5:$D$304,$B22,Pedidos!$K$5:$K$304,"🧩 Llegó incompleto"))</f>
        <v/>
      </c>
      <c r="D22" s="105" t="str">
        <f aca="false">IF($B22="","",COUNTIFS(Pedidos!$D$5:$D$304,$B22,Pedidos!$K$5:$K$304,"🐢 Retrasado"))</f>
        <v/>
      </c>
      <c r="E22" s="105" t="str">
        <f aca="false">IF($B22="","",COUNTIFS(Pedidos!$D$5:$D$304,$B22,Pedidos!$K$5:$K$304,"⚠️ Llegó con incidencia"))</f>
        <v/>
      </c>
      <c r="F22" s="106" t="str">
        <f aca="false">IF($B22="","",SUMIFS(Pedidos!$U$5:$U$304,Pedidos!$D$5:$D$304,$B22))</f>
        <v/>
      </c>
      <c r="G22" s="106" t="str">
        <f aca="true">IF($B22="","",SUMIFS(Pedidos!$I$5:$I$304,Pedidos!$D$5:$D$304,$B22,Pedidos!$C$5:$C$304,"&gt;="&amp;DATE(YEAR(TODAY()),MONTH(TODAY()),1),Pedidos!$K$5:$K$304,"&lt;&gt;✖️ Anulado"))</f>
        <v/>
      </c>
      <c r="H22" s="106" t="str">
        <f aca="true">IF($B22="","",SUMIFS(Pedidos!$I$5:$I$304,Pedidos!$D$5:$D$304,$B22,Pedidos!$C$5:$C$304,"&gt;="&amp;DATE(YEAR(TODAY()),1,1),Pedidos!$K$5:$K$304,"&lt;&gt;✖️ Anulado"))</f>
        <v/>
      </c>
      <c r="I22" s="107" t="str">
        <f aca="false">IF($B22="","",IFERROR(AVERAGEIFS(Pedidos!$S$5:$S$304,Pedidos!$D$5:$D$304,$B22),""))</f>
        <v/>
      </c>
      <c r="J22" s="105" t="str">
        <f aca="false">IF(OR($B22="",Listas!$E$22=""),"",Listas!$E$22)</f>
        <v/>
      </c>
      <c r="K22" s="105" t="str">
        <f aca="false">IF($B22="","",COUNTIFS(Pedidos!$D$5:$D$304,$B22,Pedidos!$O$5:$O$304,"&lt;&gt;",Pedidos!$L$5:$L$304,"&gt;0"))</f>
        <v/>
      </c>
      <c r="L22" s="103" t="str">
        <f aca="false">IF(OR($B22="",N(G22)&lt;=0),"",G22+ROW()/1000000)</f>
        <v/>
      </c>
    </row>
    <row r="23" customFormat="false" ht="21" hidden="false" customHeight="true" outlineLevel="0" collapsed="false">
      <c r="B23" s="99" t="str">
        <f aca="false">IF(Listas!$B$23="","",Listas!$B$23)</f>
        <v/>
      </c>
      <c r="C23" s="100" t="str">
        <f aca="false">IF($B23="","",COUNTIFS(Pedidos!$D$5:$D$304,$B23,Pedidos!$K$5:$K$304,"🛒 Por pedir")+COUNTIFS(Pedidos!$D$5:$D$304,$B23,Pedidos!$K$5:$K$304,"📦 Pedido (esperando)")+COUNTIFS(Pedidos!$D$5:$D$304,$B23,Pedidos!$K$5:$K$304,"🐢 Retrasado")+COUNTIFS(Pedidos!$D$5:$D$304,$B23,Pedidos!$K$5:$K$304,"🧩 Llegó incompleto"))</f>
        <v/>
      </c>
      <c r="D23" s="100" t="str">
        <f aca="false">IF($B23="","",COUNTIFS(Pedidos!$D$5:$D$304,$B23,Pedidos!$K$5:$K$304,"🐢 Retrasado"))</f>
        <v/>
      </c>
      <c r="E23" s="100" t="str">
        <f aca="false">IF($B23="","",COUNTIFS(Pedidos!$D$5:$D$304,$B23,Pedidos!$K$5:$K$304,"⚠️ Llegó con incidencia"))</f>
        <v/>
      </c>
      <c r="F23" s="101" t="str">
        <f aca="false">IF($B23="","",SUMIFS(Pedidos!$U$5:$U$304,Pedidos!$D$5:$D$304,$B23))</f>
        <v/>
      </c>
      <c r="G23" s="101" t="str">
        <f aca="true">IF($B23="","",SUMIFS(Pedidos!$I$5:$I$304,Pedidos!$D$5:$D$304,$B23,Pedidos!$C$5:$C$304,"&gt;="&amp;DATE(YEAR(TODAY()),MONTH(TODAY()),1),Pedidos!$K$5:$K$304,"&lt;&gt;✖️ Anulado"))</f>
        <v/>
      </c>
      <c r="H23" s="101" t="str">
        <f aca="true">IF($B23="","",SUMIFS(Pedidos!$I$5:$I$304,Pedidos!$D$5:$D$304,$B23,Pedidos!$C$5:$C$304,"&gt;="&amp;DATE(YEAR(TODAY()),1,1),Pedidos!$K$5:$K$304,"&lt;&gt;✖️ Anulado"))</f>
        <v/>
      </c>
      <c r="I23" s="102" t="str">
        <f aca="false">IF($B23="","",IFERROR(AVERAGEIFS(Pedidos!$S$5:$S$304,Pedidos!$D$5:$D$304,$B23),""))</f>
        <v/>
      </c>
      <c r="J23" s="100" t="str">
        <f aca="false">IF(OR($B23="",Listas!$E$23=""),"",Listas!$E$23)</f>
        <v/>
      </c>
      <c r="K23" s="100" t="str">
        <f aca="false">IF($B23="","",COUNTIFS(Pedidos!$D$5:$D$304,$B23,Pedidos!$O$5:$O$304,"&lt;&gt;",Pedidos!$L$5:$L$304,"&gt;0"))</f>
        <v/>
      </c>
      <c r="L23" s="103" t="str">
        <f aca="false">IF(OR($B23="",N(G23)&lt;=0),"",G23+ROW()/1000000)</f>
        <v/>
      </c>
    </row>
    <row r="24" customFormat="false" ht="21" hidden="false" customHeight="true" outlineLevel="0" collapsed="false">
      <c r="B24" s="104" t="str">
        <f aca="false">IF(Listas!$B$24="","",Listas!$B$24)</f>
        <v/>
      </c>
      <c r="C24" s="105" t="str">
        <f aca="false">IF($B24="","",COUNTIFS(Pedidos!$D$5:$D$304,$B24,Pedidos!$K$5:$K$304,"🛒 Por pedir")+COUNTIFS(Pedidos!$D$5:$D$304,$B24,Pedidos!$K$5:$K$304,"📦 Pedido (esperando)")+COUNTIFS(Pedidos!$D$5:$D$304,$B24,Pedidos!$K$5:$K$304,"🐢 Retrasado")+COUNTIFS(Pedidos!$D$5:$D$304,$B24,Pedidos!$K$5:$K$304,"🧩 Llegó incompleto"))</f>
        <v/>
      </c>
      <c r="D24" s="105" t="str">
        <f aca="false">IF($B24="","",COUNTIFS(Pedidos!$D$5:$D$304,$B24,Pedidos!$K$5:$K$304,"🐢 Retrasado"))</f>
        <v/>
      </c>
      <c r="E24" s="105" t="str">
        <f aca="false">IF($B24="","",COUNTIFS(Pedidos!$D$5:$D$304,$B24,Pedidos!$K$5:$K$304,"⚠️ Llegó con incidencia"))</f>
        <v/>
      </c>
      <c r="F24" s="106" t="str">
        <f aca="false">IF($B24="","",SUMIFS(Pedidos!$U$5:$U$304,Pedidos!$D$5:$D$304,$B24))</f>
        <v/>
      </c>
      <c r="G24" s="106" t="str">
        <f aca="true">IF($B24="","",SUMIFS(Pedidos!$I$5:$I$304,Pedidos!$D$5:$D$304,$B24,Pedidos!$C$5:$C$304,"&gt;="&amp;DATE(YEAR(TODAY()),MONTH(TODAY()),1),Pedidos!$K$5:$K$304,"&lt;&gt;✖️ Anulado"))</f>
        <v/>
      </c>
      <c r="H24" s="106" t="str">
        <f aca="true">IF($B24="","",SUMIFS(Pedidos!$I$5:$I$304,Pedidos!$D$5:$D$304,$B24,Pedidos!$C$5:$C$304,"&gt;="&amp;DATE(YEAR(TODAY()),1,1),Pedidos!$K$5:$K$304,"&lt;&gt;✖️ Anulado"))</f>
        <v/>
      </c>
      <c r="I24" s="107" t="str">
        <f aca="false">IF($B24="","",IFERROR(AVERAGEIFS(Pedidos!$S$5:$S$304,Pedidos!$D$5:$D$304,$B24),""))</f>
        <v/>
      </c>
      <c r="J24" s="105" t="str">
        <f aca="false">IF(OR($B24="",Listas!$E$24=""),"",Listas!$E$24)</f>
        <v/>
      </c>
      <c r="K24" s="105" t="str">
        <f aca="false">IF($B24="","",COUNTIFS(Pedidos!$D$5:$D$304,$B24,Pedidos!$O$5:$O$304,"&lt;&gt;",Pedidos!$L$5:$L$304,"&gt;0"))</f>
        <v/>
      </c>
      <c r="L24" s="103" t="str">
        <f aca="false">IF(OR($B24="",N(G24)&lt;=0),"",G24+ROW()/1000000)</f>
        <v/>
      </c>
    </row>
    <row r="25" customFormat="false" ht="21" hidden="false" customHeight="true" outlineLevel="0" collapsed="false">
      <c r="B25" s="99" t="str">
        <f aca="false">IF(Listas!$B$25="","",Listas!$B$25)</f>
        <v/>
      </c>
      <c r="C25" s="100" t="str">
        <f aca="false">IF($B25="","",COUNTIFS(Pedidos!$D$5:$D$304,$B25,Pedidos!$K$5:$K$304,"🛒 Por pedir")+COUNTIFS(Pedidos!$D$5:$D$304,$B25,Pedidos!$K$5:$K$304,"📦 Pedido (esperando)")+COUNTIFS(Pedidos!$D$5:$D$304,$B25,Pedidos!$K$5:$K$304,"🐢 Retrasado")+COUNTIFS(Pedidos!$D$5:$D$304,$B25,Pedidos!$K$5:$K$304,"🧩 Llegó incompleto"))</f>
        <v/>
      </c>
      <c r="D25" s="100" t="str">
        <f aca="false">IF($B25="","",COUNTIFS(Pedidos!$D$5:$D$304,$B25,Pedidos!$K$5:$K$304,"🐢 Retrasado"))</f>
        <v/>
      </c>
      <c r="E25" s="100" t="str">
        <f aca="false">IF($B25="","",COUNTIFS(Pedidos!$D$5:$D$304,$B25,Pedidos!$K$5:$K$304,"⚠️ Llegó con incidencia"))</f>
        <v/>
      </c>
      <c r="F25" s="101" t="str">
        <f aca="false">IF($B25="","",SUMIFS(Pedidos!$U$5:$U$304,Pedidos!$D$5:$D$304,$B25))</f>
        <v/>
      </c>
      <c r="G25" s="101" t="str">
        <f aca="true">IF($B25="","",SUMIFS(Pedidos!$I$5:$I$304,Pedidos!$D$5:$D$304,$B25,Pedidos!$C$5:$C$304,"&gt;="&amp;DATE(YEAR(TODAY()),MONTH(TODAY()),1),Pedidos!$K$5:$K$304,"&lt;&gt;✖️ Anulado"))</f>
        <v/>
      </c>
      <c r="H25" s="101" t="str">
        <f aca="true">IF($B25="","",SUMIFS(Pedidos!$I$5:$I$304,Pedidos!$D$5:$D$304,$B25,Pedidos!$C$5:$C$304,"&gt;="&amp;DATE(YEAR(TODAY()),1,1),Pedidos!$K$5:$K$304,"&lt;&gt;✖️ Anulado"))</f>
        <v/>
      </c>
      <c r="I25" s="102" t="str">
        <f aca="false">IF($B25="","",IFERROR(AVERAGEIFS(Pedidos!$S$5:$S$304,Pedidos!$D$5:$D$304,$B25),""))</f>
        <v/>
      </c>
      <c r="J25" s="100" t="str">
        <f aca="false">IF(OR($B25="",Listas!$E$25=""),"",Listas!$E$25)</f>
        <v/>
      </c>
      <c r="K25" s="100" t="str">
        <f aca="false">IF($B25="","",COUNTIFS(Pedidos!$D$5:$D$304,$B25,Pedidos!$O$5:$O$304,"&lt;&gt;",Pedidos!$L$5:$L$304,"&gt;0"))</f>
        <v/>
      </c>
      <c r="L25" s="103" t="str">
        <f aca="false">IF(OR($B25="",N(G25)&lt;=0),"",G25+ROW()/1000000)</f>
        <v/>
      </c>
    </row>
    <row r="26" customFormat="false" ht="21" hidden="false" customHeight="true" outlineLevel="0" collapsed="false">
      <c r="B26" s="104" t="str">
        <f aca="false">IF(Listas!$B$26="","",Listas!$B$26)</f>
        <v/>
      </c>
      <c r="C26" s="105" t="str">
        <f aca="false">IF($B26="","",COUNTIFS(Pedidos!$D$5:$D$304,$B26,Pedidos!$K$5:$K$304,"🛒 Por pedir")+COUNTIFS(Pedidos!$D$5:$D$304,$B26,Pedidos!$K$5:$K$304,"📦 Pedido (esperando)")+COUNTIFS(Pedidos!$D$5:$D$304,$B26,Pedidos!$K$5:$K$304,"🐢 Retrasado")+COUNTIFS(Pedidos!$D$5:$D$304,$B26,Pedidos!$K$5:$K$304,"🧩 Llegó incompleto"))</f>
        <v/>
      </c>
      <c r="D26" s="105" t="str">
        <f aca="false">IF($B26="","",COUNTIFS(Pedidos!$D$5:$D$304,$B26,Pedidos!$K$5:$K$304,"🐢 Retrasado"))</f>
        <v/>
      </c>
      <c r="E26" s="105" t="str">
        <f aca="false">IF($B26="","",COUNTIFS(Pedidos!$D$5:$D$304,$B26,Pedidos!$K$5:$K$304,"⚠️ Llegó con incidencia"))</f>
        <v/>
      </c>
      <c r="F26" s="106" t="str">
        <f aca="false">IF($B26="","",SUMIFS(Pedidos!$U$5:$U$304,Pedidos!$D$5:$D$304,$B26))</f>
        <v/>
      </c>
      <c r="G26" s="106" t="str">
        <f aca="true">IF($B26="","",SUMIFS(Pedidos!$I$5:$I$304,Pedidos!$D$5:$D$304,$B26,Pedidos!$C$5:$C$304,"&gt;="&amp;DATE(YEAR(TODAY()),MONTH(TODAY()),1),Pedidos!$K$5:$K$304,"&lt;&gt;✖️ Anulado"))</f>
        <v/>
      </c>
      <c r="H26" s="106" t="str">
        <f aca="true">IF($B26="","",SUMIFS(Pedidos!$I$5:$I$304,Pedidos!$D$5:$D$304,$B26,Pedidos!$C$5:$C$304,"&gt;="&amp;DATE(YEAR(TODAY()),1,1),Pedidos!$K$5:$K$304,"&lt;&gt;✖️ Anulado"))</f>
        <v/>
      </c>
      <c r="I26" s="107" t="str">
        <f aca="false">IF($B26="","",IFERROR(AVERAGEIFS(Pedidos!$S$5:$S$304,Pedidos!$D$5:$D$304,$B26),""))</f>
        <v/>
      </c>
      <c r="J26" s="105" t="str">
        <f aca="false">IF(OR($B26="",Listas!$E$26=""),"",Listas!$E$26)</f>
        <v/>
      </c>
      <c r="K26" s="105" t="str">
        <f aca="false">IF($B26="","",COUNTIFS(Pedidos!$D$5:$D$304,$B26,Pedidos!$O$5:$O$304,"&lt;&gt;",Pedidos!$L$5:$L$304,"&gt;0"))</f>
        <v/>
      </c>
      <c r="L26" s="103" t="str">
        <f aca="false">IF(OR($B26="",N(G26)&lt;=0),"",G26+ROW()/1000000)</f>
        <v/>
      </c>
    </row>
    <row r="27" customFormat="false" ht="21" hidden="false" customHeight="true" outlineLevel="0" collapsed="false">
      <c r="B27" s="99" t="str">
        <f aca="false">IF(Listas!$B$27="","",Listas!$B$27)</f>
        <v/>
      </c>
      <c r="C27" s="100" t="str">
        <f aca="false">IF($B27="","",COUNTIFS(Pedidos!$D$5:$D$304,$B27,Pedidos!$K$5:$K$304,"🛒 Por pedir")+COUNTIFS(Pedidos!$D$5:$D$304,$B27,Pedidos!$K$5:$K$304,"📦 Pedido (esperando)")+COUNTIFS(Pedidos!$D$5:$D$304,$B27,Pedidos!$K$5:$K$304,"🐢 Retrasado")+COUNTIFS(Pedidos!$D$5:$D$304,$B27,Pedidos!$K$5:$K$304,"🧩 Llegó incompleto"))</f>
        <v/>
      </c>
      <c r="D27" s="100" t="str">
        <f aca="false">IF($B27="","",COUNTIFS(Pedidos!$D$5:$D$304,$B27,Pedidos!$K$5:$K$304,"🐢 Retrasado"))</f>
        <v/>
      </c>
      <c r="E27" s="100" t="str">
        <f aca="false">IF($B27="","",COUNTIFS(Pedidos!$D$5:$D$304,$B27,Pedidos!$K$5:$K$304,"⚠️ Llegó con incidencia"))</f>
        <v/>
      </c>
      <c r="F27" s="101" t="str">
        <f aca="false">IF($B27="","",SUMIFS(Pedidos!$U$5:$U$304,Pedidos!$D$5:$D$304,$B27))</f>
        <v/>
      </c>
      <c r="G27" s="101" t="str">
        <f aca="true">IF($B27="","",SUMIFS(Pedidos!$I$5:$I$304,Pedidos!$D$5:$D$304,$B27,Pedidos!$C$5:$C$304,"&gt;="&amp;DATE(YEAR(TODAY()),MONTH(TODAY()),1),Pedidos!$K$5:$K$304,"&lt;&gt;✖️ Anulado"))</f>
        <v/>
      </c>
      <c r="H27" s="101" t="str">
        <f aca="true">IF($B27="","",SUMIFS(Pedidos!$I$5:$I$304,Pedidos!$D$5:$D$304,$B27,Pedidos!$C$5:$C$304,"&gt;="&amp;DATE(YEAR(TODAY()),1,1),Pedidos!$K$5:$K$304,"&lt;&gt;✖️ Anulado"))</f>
        <v/>
      </c>
      <c r="I27" s="102" t="str">
        <f aca="false">IF($B27="","",IFERROR(AVERAGEIFS(Pedidos!$S$5:$S$304,Pedidos!$D$5:$D$304,$B27),""))</f>
        <v/>
      </c>
      <c r="J27" s="100" t="str">
        <f aca="false">IF(OR($B27="",Listas!$E$27=""),"",Listas!$E$27)</f>
        <v/>
      </c>
      <c r="K27" s="100" t="str">
        <f aca="false">IF($B27="","",COUNTIFS(Pedidos!$D$5:$D$304,$B27,Pedidos!$O$5:$O$304,"&lt;&gt;",Pedidos!$L$5:$L$304,"&gt;0"))</f>
        <v/>
      </c>
      <c r="L27" s="103" t="str">
        <f aca="false">IF(OR($B27="",N(G27)&lt;=0),"",G27+ROW()/1000000)</f>
        <v/>
      </c>
    </row>
    <row r="28" customFormat="false" ht="21" hidden="false" customHeight="true" outlineLevel="0" collapsed="false">
      <c r="B28" s="104" t="str">
        <f aca="false">IF(Listas!$B$28="","",Listas!$B$28)</f>
        <v/>
      </c>
      <c r="C28" s="105" t="str">
        <f aca="false">IF($B28="","",COUNTIFS(Pedidos!$D$5:$D$304,$B28,Pedidos!$K$5:$K$304,"🛒 Por pedir")+COUNTIFS(Pedidos!$D$5:$D$304,$B28,Pedidos!$K$5:$K$304,"📦 Pedido (esperando)")+COUNTIFS(Pedidos!$D$5:$D$304,$B28,Pedidos!$K$5:$K$304,"🐢 Retrasado")+COUNTIFS(Pedidos!$D$5:$D$304,$B28,Pedidos!$K$5:$K$304,"🧩 Llegó incompleto"))</f>
        <v/>
      </c>
      <c r="D28" s="105" t="str">
        <f aca="false">IF($B28="","",COUNTIFS(Pedidos!$D$5:$D$304,$B28,Pedidos!$K$5:$K$304,"🐢 Retrasado"))</f>
        <v/>
      </c>
      <c r="E28" s="105" t="str">
        <f aca="false">IF($B28="","",COUNTIFS(Pedidos!$D$5:$D$304,$B28,Pedidos!$K$5:$K$304,"⚠️ Llegó con incidencia"))</f>
        <v/>
      </c>
      <c r="F28" s="106" t="str">
        <f aca="false">IF($B28="","",SUMIFS(Pedidos!$U$5:$U$304,Pedidos!$D$5:$D$304,$B28))</f>
        <v/>
      </c>
      <c r="G28" s="106" t="str">
        <f aca="true">IF($B28="","",SUMIFS(Pedidos!$I$5:$I$304,Pedidos!$D$5:$D$304,$B28,Pedidos!$C$5:$C$304,"&gt;="&amp;DATE(YEAR(TODAY()),MONTH(TODAY()),1),Pedidos!$K$5:$K$304,"&lt;&gt;✖️ Anulado"))</f>
        <v/>
      </c>
      <c r="H28" s="106" t="str">
        <f aca="true">IF($B28="","",SUMIFS(Pedidos!$I$5:$I$304,Pedidos!$D$5:$D$304,$B28,Pedidos!$C$5:$C$304,"&gt;="&amp;DATE(YEAR(TODAY()),1,1),Pedidos!$K$5:$K$304,"&lt;&gt;✖️ Anulado"))</f>
        <v/>
      </c>
      <c r="I28" s="107" t="str">
        <f aca="false">IF($B28="","",IFERROR(AVERAGEIFS(Pedidos!$S$5:$S$304,Pedidos!$D$5:$D$304,$B28),""))</f>
        <v/>
      </c>
      <c r="J28" s="105" t="str">
        <f aca="false">IF(OR($B28="",Listas!$E$28=""),"",Listas!$E$28)</f>
        <v/>
      </c>
      <c r="K28" s="105" t="str">
        <f aca="false">IF($B28="","",COUNTIFS(Pedidos!$D$5:$D$304,$B28,Pedidos!$O$5:$O$304,"&lt;&gt;",Pedidos!$L$5:$L$304,"&gt;0"))</f>
        <v/>
      </c>
      <c r="L28" s="103" t="str">
        <f aca="false">IF(OR($B28="",N(G28)&lt;=0),"",G28+ROW()/1000000)</f>
        <v/>
      </c>
    </row>
    <row r="29" customFormat="false" ht="21" hidden="false" customHeight="true" outlineLevel="0" collapsed="false">
      <c r="B29" s="99" t="str">
        <f aca="false">IF(Listas!$B$29="","",Listas!$B$29)</f>
        <v/>
      </c>
      <c r="C29" s="100" t="str">
        <f aca="false">IF($B29="","",COUNTIFS(Pedidos!$D$5:$D$304,$B29,Pedidos!$K$5:$K$304,"🛒 Por pedir")+COUNTIFS(Pedidos!$D$5:$D$304,$B29,Pedidos!$K$5:$K$304,"📦 Pedido (esperando)")+COUNTIFS(Pedidos!$D$5:$D$304,$B29,Pedidos!$K$5:$K$304,"🐢 Retrasado")+COUNTIFS(Pedidos!$D$5:$D$304,$B29,Pedidos!$K$5:$K$304,"🧩 Llegó incompleto"))</f>
        <v/>
      </c>
      <c r="D29" s="100" t="str">
        <f aca="false">IF($B29="","",COUNTIFS(Pedidos!$D$5:$D$304,$B29,Pedidos!$K$5:$K$304,"🐢 Retrasado"))</f>
        <v/>
      </c>
      <c r="E29" s="100" t="str">
        <f aca="false">IF($B29="","",COUNTIFS(Pedidos!$D$5:$D$304,$B29,Pedidos!$K$5:$K$304,"⚠️ Llegó con incidencia"))</f>
        <v/>
      </c>
      <c r="F29" s="101" t="str">
        <f aca="false">IF($B29="","",SUMIFS(Pedidos!$U$5:$U$304,Pedidos!$D$5:$D$304,$B29))</f>
        <v/>
      </c>
      <c r="G29" s="101" t="str">
        <f aca="true">IF($B29="","",SUMIFS(Pedidos!$I$5:$I$304,Pedidos!$D$5:$D$304,$B29,Pedidos!$C$5:$C$304,"&gt;="&amp;DATE(YEAR(TODAY()),MONTH(TODAY()),1),Pedidos!$K$5:$K$304,"&lt;&gt;✖️ Anulado"))</f>
        <v/>
      </c>
      <c r="H29" s="101" t="str">
        <f aca="true">IF($B29="","",SUMIFS(Pedidos!$I$5:$I$304,Pedidos!$D$5:$D$304,$B29,Pedidos!$C$5:$C$304,"&gt;="&amp;DATE(YEAR(TODAY()),1,1),Pedidos!$K$5:$K$304,"&lt;&gt;✖️ Anulado"))</f>
        <v/>
      </c>
      <c r="I29" s="102" t="str">
        <f aca="false">IF($B29="","",IFERROR(AVERAGEIFS(Pedidos!$S$5:$S$304,Pedidos!$D$5:$D$304,$B29),""))</f>
        <v/>
      </c>
      <c r="J29" s="100" t="str">
        <f aca="false">IF(OR($B29="",Listas!$E$29=""),"",Listas!$E$29)</f>
        <v/>
      </c>
      <c r="K29" s="100" t="str">
        <f aca="false">IF($B29="","",COUNTIFS(Pedidos!$D$5:$D$304,$B29,Pedidos!$O$5:$O$304,"&lt;&gt;",Pedidos!$L$5:$L$304,"&gt;0"))</f>
        <v/>
      </c>
      <c r="L29" s="103" t="str">
        <f aca="false">IF(OR($B29="",N(G29)&lt;=0),"",G29+ROW()/1000000)</f>
        <v/>
      </c>
    </row>
    <row r="30" customFormat="false" ht="21" hidden="false" customHeight="true" outlineLevel="0" collapsed="false">
      <c r="B30" s="104" t="str">
        <f aca="false">IF(Listas!$B$30="","",Listas!$B$30)</f>
        <v/>
      </c>
      <c r="C30" s="105" t="str">
        <f aca="false">IF($B30="","",COUNTIFS(Pedidos!$D$5:$D$304,$B30,Pedidos!$K$5:$K$304,"🛒 Por pedir")+COUNTIFS(Pedidos!$D$5:$D$304,$B30,Pedidos!$K$5:$K$304,"📦 Pedido (esperando)")+COUNTIFS(Pedidos!$D$5:$D$304,$B30,Pedidos!$K$5:$K$304,"🐢 Retrasado")+COUNTIFS(Pedidos!$D$5:$D$304,$B30,Pedidos!$K$5:$K$304,"🧩 Llegó incompleto"))</f>
        <v/>
      </c>
      <c r="D30" s="105" t="str">
        <f aca="false">IF($B30="","",COUNTIFS(Pedidos!$D$5:$D$304,$B30,Pedidos!$K$5:$K$304,"🐢 Retrasado"))</f>
        <v/>
      </c>
      <c r="E30" s="105" t="str">
        <f aca="false">IF($B30="","",COUNTIFS(Pedidos!$D$5:$D$304,$B30,Pedidos!$K$5:$K$304,"⚠️ Llegó con incidencia"))</f>
        <v/>
      </c>
      <c r="F30" s="106" t="str">
        <f aca="false">IF($B30="","",SUMIFS(Pedidos!$U$5:$U$304,Pedidos!$D$5:$D$304,$B30))</f>
        <v/>
      </c>
      <c r="G30" s="106" t="str">
        <f aca="true">IF($B30="","",SUMIFS(Pedidos!$I$5:$I$304,Pedidos!$D$5:$D$304,$B30,Pedidos!$C$5:$C$304,"&gt;="&amp;DATE(YEAR(TODAY()),MONTH(TODAY()),1),Pedidos!$K$5:$K$304,"&lt;&gt;✖️ Anulado"))</f>
        <v/>
      </c>
      <c r="H30" s="106" t="str">
        <f aca="true">IF($B30="","",SUMIFS(Pedidos!$I$5:$I$304,Pedidos!$D$5:$D$304,$B30,Pedidos!$C$5:$C$304,"&gt;="&amp;DATE(YEAR(TODAY()),1,1),Pedidos!$K$5:$K$304,"&lt;&gt;✖️ Anulado"))</f>
        <v/>
      </c>
      <c r="I30" s="107" t="str">
        <f aca="false">IF($B30="","",IFERROR(AVERAGEIFS(Pedidos!$S$5:$S$304,Pedidos!$D$5:$D$304,$B30),""))</f>
        <v/>
      </c>
      <c r="J30" s="105" t="str">
        <f aca="false">IF(OR($B30="",Listas!$E$30=""),"",Listas!$E$30)</f>
        <v/>
      </c>
      <c r="K30" s="105" t="str">
        <f aca="false">IF($B30="","",COUNTIFS(Pedidos!$D$5:$D$304,$B30,Pedidos!$O$5:$O$304,"&lt;&gt;",Pedidos!$L$5:$L$304,"&gt;0"))</f>
        <v/>
      </c>
      <c r="L30" s="103" t="str">
        <f aca="false">IF(OR($B30="",N(G30)&lt;=0),"",G30+ROW()/1000000)</f>
        <v/>
      </c>
    </row>
    <row r="31" customFormat="false" ht="21" hidden="false" customHeight="true" outlineLevel="0" collapsed="false">
      <c r="B31" s="99" t="str">
        <f aca="false">IF(Listas!$B$31="","",Listas!$B$31)</f>
        <v/>
      </c>
      <c r="C31" s="100" t="str">
        <f aca="false">IF($B31="","",COUNTIFS(Pedidos!$D$5:$D$304,$B31,Pedidos!$K$5:$K$304,"🛒 Por pedir")+COUNTIFS(Pedidos!$D$5:$D$304,$B31,Pedidos!$K$5:$K$304,"📦 Pedido (esperando)")+COUNTIFS(Pedidos!$D$5:$D$304,$B31,Pedidos!$K$5:$K$304,"🐢 Retrasado")+COUNTIFS(Pedidos!$D$5:$D$304,$B31,Pedidos!$K$5:$K$304,"🧩 Llegó incompleto"))</f>
        <v/>
      </c>
      <c r="D31" s="100" t="str">
        <f aca="false">IF($B31="","",COUNTIFS(Pedidos!$D$5:$D$304,$B31,Pedidos!$K$5:$K$304,"🐢 Retrasado"))</f>
        <v/>
      </c>
      <c r="E31" s="100" t="str">
        <f aca="false">IF($B31="","",COUNTIFS(Pedidos!$D$5:$D$304,$B31,Pedidos!$K$5:$K$304,"⚠️ Llegó con incidencia"))</f>
        <v/>
      </c>
      <c r="F31" s="101" t="str">
        <f aca="false">IF($B31="","",SUMIFS(Pedidos!$U$5:$U$304,Pedidos!$D$5:$D$304,$B31))</f>
        <v/>
      </c>
      <c r="G31" s="101" t="str">
        <f aca="true">IF($B31="","",SUMIFS(Pedidos!$I$5:$I$304,Pedidos!$D$5:$D$304,$B31,Pedidos!$C$5:$C$304,"&gt;="&amp;DATE(YEAR(TODAY()),MONTH(TODAY()),1),Pedidos!$K$5:$K$304,"&lt;&gt;✖️ Anulado"))</f>
        <v/>
      </c>
      <c r="H31" s="101" t="str">
        <f aca="true">IF($B31="","",SUMIFS(Pedidos!$I$5:$I$304,Pedidos!$D$5:$D$304,$B31,Pedidos!$C$5:$C$304,"&gt;="&amp;DATE(YEAR(TODAY()),1,1),Pedidos!$K$5:$K$304,"&lt;&gt;✖️ Anulado"))</f>
        <v/>
      </c>
      <c r="I31" s="102" t="str">
        <f aca="false">IF($B31="","",IFERROR(AVERAGEIFS(Pedidos!$S$5:$S$304,Pedidos!$D$5:$D$304,$B31),""))</f>
        <v/>
      </c>
      <c r="J31" s="100" t="str">
        <f aca="false">IF(OR($B31="",Listas!$E$31=""),"",Listas!$E$31)</f>
        <v/>
      </c>
      <c r="K31" s="100" t="str">
        <f aca="false">IF($B31="","",COUNTIFS(Pedidos!$D$5:$D$304,$B31,Pedidos!$O$5:$O$304,"&lt;&gt;",Pedidos!$L$5:$L$304,"&gt;0"))</f>
        <v/>
      </c>
      <c r="L31" s="103" t="str">
        <f aca="false">IF(OR($B31="",N(G31)&lt;=0),"",G31+ROW()/1000000)</f>
        <v/>
      </c>
    </row>
    <row r="32" customFormat="false" ht="21" hidden="false" customHeight="true" outlineLevel="0" collapsed="false">
      <c r="B32" s="104" t="str">
        <f aca="false">IF(Listas!$B$32="","",Listas!$B$32)</f>
        <v/>
      </c>
      <c r="C32" s="105" t="str">
        <f aca="false">IF($B32="","",COUNTIFS(Pedidos!$D$5:$D$304,$B32,Pedidos!$K$5:$K$304,"🛒 Por pedir")+COUNTIFS(Pedidos!$D$5:$D$304,$B32,Pedidos!$K$5:$K$304,"📦 Pedido (esperando)")+COUNTIFS(Pedidos!$D$5:$D$304,$B32,Pedidos!$K$5:$K$304,"🐢 Retrasado")+COUNTIFS(Pedidos!$D$5:$D$304,$B32,Pedidos!$K$5:$K$304,"🧩 Llegó incompleto"))</f>
        <v/>
      </c>
      <c r="D32" s="105" t="str">
        <f aca="false">IF($B32="","",COUNTIFS(Pedidos!$D$5:$D$304,$B32,Pedidos!$K$5:$K$304,"🐢 Retrasado"))</f>
        <v/>
      </c>
      <c r="E32" s="105" t="str">
        <f aca="false">IF($B32="","",COUNTIFS(Pedidos!$D$5:$D$304,$B32,Pedidos!$K$5:$K$304,"⚠️ Llegó con incidencia"))</f>
        <v/>
      </c>
      <c r="F32" s="106" t="str">
        <f aca="false">IF($B32="","",SUMIFS(Pedidos!$U$5:$U$304,Pedidos!$D$5:$D$304,$B32))</f>
        <v/>
      </c>
      <c r="G32" s="106" t="str">
        <f aca="true">IF($B32="","",SUMIFS(Pedidos!$I$5:$I$304,Pedidos!$D$5:$D$304,$B32,Pedidos!$C$5:$C$304,"&gt;="&amp;DATE(YEAR(TODAY()),MONTH(TODAY()),1),Pedidos!$K$5:$K$304,"&lt;&gt;✖️ Anulado"))</f>
        <v/>
      </c>
      <c r="H32" s="106" t="str">
        <f aca="true">IF($B32="","",SUMIFS(Pedidos!$I$5:$I$304,Pedidos!$D$5:$D$304,$B32,Pedidos!$C$5:$C$304,"&gt;="&amp;DATE(YEAR(TODAY()),1,1),Pedidos!$K$5:$K$304,"&lt;&gt;✖️ Anulado"))</f>
        <v/>
      </c>
      <c r="I32" s="107" t="str">
        <f aca="false">IF($B32="","",IFERROR(AVERAGEIFS(Pedidos!$S$5:$S$304,Pedidos!$D$5:$D$304,$B32),""))</f>
        <v/>
      </c>
      <c r="J32" s="105" t="str">
        <f aca="false">IF(OR($B32="",Listas!$E$32=""),"",Listas!$E$32)</f>
        <v/>
      </c>
      <c r="K32" s="105" t="str">
        <f aca="false">IF($B32="","",COUNTIFS(Pedidos!$D$5:$D$304,$B32,Pedidos!$O$5:$O$304,"&lt;&gt;",Pedidos!$L$5:$L$304,"&gt;0"))</f>
        <v/>
      </c>
      <c r="L32" s="103" t="str">
        <f aca="false">IF(OR($B32="",N(G32)&lt;=0),"",G32+ROW()/1000000)</f>
        <v/>
      </c>
    </row>
    <row r="33" customFormat="false" ht="21" hidden="false" customHeight="true" outlineLevel="0" collapsed="false">
      <c r="B33" s="99" t="str">
        <f aca="false">IF(Listas!$B$33="","",Listas!$B$33)</f>
        <v/>
      </c>
      <c r="C33" s="100" t="str">
        <f aca="false">IF($B33="","",COUNTIFS(Pedidos!$D$5:$D$304,$B33,Pedidos!$K$5:$K$304,"🛒 Por pedir")+COUNTIFS(Pedidos!$D$5:$D$304,$B33,Pedidos!$K$5:$K$304,"📦 Pedido (esperando)")+COUNTIFS(Pedidos!$D$5:$D$304,$B33,Pedidos!$K$5:$K$304,"🐢 Retrasado")+COUNTIFS(Pedidos!$D$5:$D$304,$B33,Pedidos!$K$5:$K$304,"🧩 Llegó incompleto"))</f>
        <v/>
      </c>
      <c r="D33" s="100" t="str">
        <f aca="false">IF($B33="","",COUNTIFS(Pedidos!$D$5:$D$304,$B33,Pedidos!$K$5:$K$304,"🐢 Retrasado"))</f>
        <v/>
      </c>
      <c r="E33" s="100" t="str">
        <f aca="false">IF($B33="","",COUNTIFS(Pedidos!$D$5:$D$304,$B33,Pedidos!$K$5:$K$304,"⚠️ Llegó con incidencia"))</f>
        <v/>
      </c>
      <c r="F33" s="101" t="str">
        <f aca="false">IF($B33="","",SUMIFS(Pedidos!$U$5:$U$304,Pedidos!$D$5:$D$304,$B33))</f>
        <v/>
      </c>
      <c r="G33" s="101" t="str">
        <f aca="true">IF($B33="","",SUMIFS(Pedidos!$I$5:$I$304,Pedidos!$D$5:$D$304,$B33,Pedidos!$C$5:$C$304,"&gt;="&amp;DATE(YEAR(TODAY()),MONTH(TODAY()),1),Pedidos!$K$5:$K$304,"&lt;&gt;✖️ Anulado"))</f>
        <v/>
      </c>
      <c r="H33" s="101" t="str">
        <f aca="true">IF($B33="","",SUMIFS(Pedidos!$I$5:$I$304,Pedidos!$D$5:$D$304,$B33,Pedidos!$C$5:$C$304,"&gt;="&amp;DATE(YEAR(TODAY()),1,1),Pedidos!$K$5:$K$304,"&lt;&gt;✖️ Anulado"))</f>
        <v/>
      </c>
      <c r="I33" s="102" t="str">
        <f aca="false">IF($B33="","",IFERROR(AVERAGEIFS(Pedidos!$S$5:$S$304,Pedidos!$D$5:$D$304,$B33),""))</f>
        <v/>
      </c>
      <c r="J33" s="100" t="str">
        <f aca="false">IF(OR($B33="",Listas!$E$33=""),"",Listas!$E$33)</f>
        <v/>
      </c>
      <c r="K33" s="100" t="str">
        <f aca="false">IF($B33="","",COUNTIFS(Pedidos!$D$5:$D$304,$B33,Pedidos!$O$5:$O$304,"&lt;&gt;",Pedidos!$L$5:$L$304,"&gt;0"))</f>
        <v/>
      </c>
      <c r="L33" s="103" t="str">
        <f aca="false">IF(OR($B33="",N(G33)&lt;=0),"",G33+ROW()/1000000)</f>
        <v/>
      </c>
    </row>
    <row r="34" customFormat="false" ht="21" hidden="false" customHeight="true" outlineLevel="0" collapsed="false">
      <c r="B34" s="104" t="str">
        <f aca="false">IF(Listas!$B$34="","",Listas!$B$34)</f>
        <v/>
      </c>
      <c r="C34" s="105" t="str">
        <f aca="false">IF($B34="","",COUNTIFS(Pedidos!$D$5:$D$304,$B34,Pedidos!$K$5:$K$304,"🛒 Por pedir")+COUNTIFS(Pedidos!$D$5:$D$304,$B34,Pedidos!$K$5:$K$304,"📦 Pedido (esperando)")+COUNTIFS(Pedidos!$D$5:$D$304,$B34,Pedidos!$K$5:$K$304,"🐢 Retrasado")+COUNTIFS(Pedidos!$D$5:$D$304,$B34,Pedidos!$K$5:$K$304,"🧩 Llegó incompleto"))</f>
        <v/>
      </c>
      <c r="D34" s="105" t="str">
        <f aca="false">IF($B34="","",COUNTIFS(Pedidos!$D$5:$D$304,$B34,Pedidos!$K$5:$K$304,"🐢 Retrasado"))</f>
        <v/>
      </c>
      <c r="E34" s="105" t="str">
        <f aca="false">IF($B34="","",COUNTIFS(Pedidos!$D$5:$D$304,$B34,Pedidos!$K$5:$K$304,"⚠️ Llegó con incidencia"))</f>
        <v/>
      </c>
      <c r="F34" s="106" t="str">
        <f aca="false">IF($B34="","",SUMIFS(Pedidos!$U$5:$U$304,Pedidos!$D$5:$D$304,$B34))</f>
        <v/>
      </c>
      <c r="G34" s="106" t="str">
        <f aca="true">IF($B34="","",SUMIFS(Pedidos!$I$5:$I$304,Pedidos!$D$5:$D$304,$B34,Pedidos!$C$5:$C$304,"&gt;="&amp;DATE(YEAR(TODAY()),MONTH(TODAY()),1),Pedidos!$K$5:$K$304,"&lt;&gt;✖️ Anulado"))</f>
        <v/>
      </c>
      <c r="H34" s="106" t="str">
        <f aca="true">IF($B34="","",SUMIFS(Pedidos!$I$5:$I$304,Pedidos!$D$5:$D$304,$B34,Pedidos!$C$5:$C$304,"&gt;="&amp;DATE(YEAR(TODAY()),1,1),Pedidos!$K$5:$K$304,"&lt;&gt;✖️ Anulado"))</f>
        <v/>
      </c>
      <c r="I34" s="107" t="str">
        <f aca="false">IF($B34="","",IFERROR(AVERAGEIFS(Pedidos!$S$5:$S$304,Pedidos!$D$5:$D$304,$B34),""))</f>
        <v/>
      </c>
      <c r="J34" s="105" t="str">
        <f aca="false">IF(OR($B34="",Listas!$E$34=""),"",Listas!$E$34)</f>
        <v/>
      </c>
      <c r="K34" s="105" t="str">
        <f aca="false">IF($B34="","",COUNTIFS(Pedidos!$D$5:$D$304,$B34,Pedidos!$O$5:$O$304,"&lt;&gt;",Pedidos!$L$5:$L$304,"&gt;0"))</f>
        <v/>
      </c>
      <c r="L34" s="103" t="str">
        <f aca="false">IF(OR($B34="",N(G34)&lt;=0),"",G34+ROW()/1000000)</f>
        <v/>
      </c>
    </row>
    <row r="35" customFormat="false" ht="21" hidden="false" customHeight="true" outlineLevel="0" collapsed="false">
      <c r="B35" s="99" t="str">
        <f aca="false">IF(Listas!$B$35="","",Listas!$B$35)</f>
        <v/>
      </c>
      <c r="C35" s="100" t="str">
        <f aca="false">IF($B35="","",COUNTIFS(Pedidos!$D$5:$D$304,$B35,Pedidos!$K$5:$K$304,"🛒 Por pedir")+COUNTIFS(Pedidos!$D$5:$D$304,$B35,Pedidos!$K$5:$K$304,"📦 Pedido (esperando)")+COUNTIFS(Pedidos!$D$5:$D$304,$B35,Pedidos!$K$5:$K$304,"🐢 Retrasado")+COUNTIFS(Pedidos!$D$5:$D$304,$B35,Pedidos!$K$5:$K$304,"🧩 Llegó incompleto"))</f>
        <v/>
      </c>
      <c r="D35" s="100" t="str">
        <f aca="false">IF($B35="","",COUNTIFS(Pedidos!$D$5:$D$304,$B35,Pedidos!$K$5:$K$304,"🐢 Retrasado"))</f>
        <v/>
      </c>
      <c r="E35" s="100" t="str">
        <f aca="false">IF($B35="","",COUNTIFS(Pedidos!$D$5:$D$304,$B35,Pedidos!$K$5:$K$304,"⚠️ Llegó con incidencia"))</f>
        <v/>
      </c>
      <c r="F35" s="101" t="str">
        <f aca="false">IF($B35="","",SUMIFS(Pedidos!$U$5:$U$304,Pedidos!$D$5:$D$304,$B35))</f>
        <v/>
      </c>
      <c r="G35" s="101" t="str">
        <f aca="true">IF($B35="","",SUMIFS(Pedidos!$I$5:$I$304,Pedidos!$D$5:$D$304,$B35,Pedidos!$C$5:$C$304,"&gt;="&amp;DATE(YEAR(TODAY()),MONTH(TODAY()),1),Pedidos!$K$5:$K$304,"&lt;&gt;✖️ Anulado"))</f>
        <v/>
      </c>
      <c r="H35" s="101" t="str">
        <f aca="true">IF($B35="","",SUMIFS(Pedidos!$I$5:$I$304,Pedidos!$D$5:$D$304,$B35,Pedidos!$C$5:$C$304,"&gt;="&amp;DATE(YEAR(TODAY()),1,1),Pedidos!$K$5:$K$304,"&lt;&gt;✖️ Anulado"))</f>
        <v/>
      </c>
      <c r="I35" s="102" t="str">
        <f aca="false">IF($B35="","",IFERROR(AVERAGEIFS(Pedidos!$S$5:$S$304,Pedidos!$D$5:$D$304,$B35),""))</f>
        <v/>
      </c>
      <c r="J35" s="100" t="str">
        <f aca="false">IF(OR($B35="",Listas!$E$35=""),"",Listas!$E$35)</f>
        <v/>
      </c>
      <c r="K35" s="100" t="str">
        <f aca="false">IF($B35="","",COUNTIFS(Pedidos!$D$5:$D$304,$B35,Pedidos!$O$5:$O$304,"&lt;&gt;",Pedidos!$L$5:$L$304,"&gt;0"))</f>
        <v/>
      </c>
      <c r="L35" s="103" t="str">
        <f aca="false">IF(OR($B35="",N(G35)&lt;=0),"",G35+ROW()/1000000)</f>
        <v/>
      </c>
    </row>
    <row r="36" customFormat="false" ht="21" hidden="false" customHeight="true" outlineLevel="0" collapsed="false">
      <c r="B36" s="104" t="str">
        <f aca="false">IF(Listas!$B$36="","",Listas!$B$36)</f>
        <v/>
      </c>
      <c r="C36" s="105" t="str">
        <f aca="false">IF($B36="","",COUNTIFS(Pedidos!$D$5:$D$304,$B36,Pedidos!$K$5:$K$304,"🛒 Por pedir")+COUNTIFS(Pedidos!$D$5:$D$304,$B36,Pedidos!$K$5:$K$304,"📦 Pedido (esperando)")+COUNTIFS(Pedidos!$D$5:$D$304,$B36,Pedidos!$K$5:$K$304,"🐢 Retrasado")+COUNTIFS(Pedidos!$D$5:$D$304,$B36,Pedidos!$K$5:$K$304,"🧩 Llegó incompleto"))</f>
        <v/>
      </c>
      <c r="D36" s="105" t="str">
        <f aca="false">IF($B36="","",COUNTIFS(Pedidos!$D$5:$D$304,$B36,Pedidos!$K$5:$K$304,"🐢 Retrasado"))</f>
        <v/>
      </c>
      <c r="E36" s="105" t="str">
        <f aca="false">IF($B36="","",COUNTIFS(Pedidos!$D$5:$D$304,$B36,Pedidos!$K$5:$K$304,"⚠️ Llegó con incidencia"))</f>
        <v/>
      </c>
      <c r="F36" s="106" t="str">
        <f aca="false">IF($B36="","",SUMIFS(Pedidos!$U$5:$U$304,Pedidos!$D$5:$D$304,$B36))</f>
        <v/>
      </c>
      <c r="G36" s="106" t="str">
        <f aca="true">IF($B36="","",SUMIFS(Pedidos!$I$5:$I$304,Pedidos!$D$5:$D$304,$B36,Pedidos!$C$5:$C$304,"&gt;="&amp;DATE(YEAR(TODAY()),MONTH(TODAY()),1),Pedidos!$K$5:$K$304,"&lt;&gt;✖️ Anulado"))</f>
        <v/>
      </c>
      <c r="H36" s="106" t="str">
        <f aca="true">IF($B36="","",SUMIFS(Pedidos!$I$5:$I$304,Pedidos!$D$5:$D$304,$B36,Pedidos!$C$5:$C$304,"&gt;="&amp;DATE(YEAR(TODAY()),1,1),Pedidos!$K$5:$K$304,"&lt;&gt;✖️ Anulado"))</f>
        <v/>
      </c>
      <c r="I36" s="107" t="str">
        <f aca="false">IF($B36="","",IFERROR(AVERAGEIFS(Pedidos!$S$5:$S$304,Pedidos!$D$5:$D$304,$B36),""))</f>
        <v/>
      </c>
      <c r="J36" s="105" t="str">
        <f aca="false">IF(OR($B36="",Listas!$E$36=""),"",Listas!$E$36)</f>
        <v/>
      </c>
      <c r="K36" s="105" t="str">
        <f aca="false">IF($B36="","",COUNTIFS(Pedidos!$D$5:$D$304,$B36,Pedidos!$O$5:$O$304,"&lt;&gt;",Pedidos!$L$5:$L$304,"&gt;0"))</f>
        <v/>
      </c>
      <c r="L36" s="103" t="str">
        <f aca="false">IF(OR($B36="",N(G36)&lt;=0),"",G36+ROW()/1000000)</f>
        <v/>
      </c>
    </row>
    <row r="37" customFormat="false" ht="21" hidden="false" customHeight="true" outlineLevel="0" collapsed="false">
      <c r="B37" s="99" t="str">
        <f aca="false">IF(Listas!$B$37="","",Listas!$B$37)</f>
        <v/>
      </c>
      <c r="C37" s="100" t="str">
        <f aca="false">IF($B37="","",COUNTIFS(Pedidos!$D$5:$D$304,$B37,Pedidos!$K$5:$K$304,"🛒 Por pedir")+COUNTIFS(Pedidos!$D$5:$D$304,$B37,Pedidos!$K$5:$K$304,"📦 Pedido (esperando)")+COUNTIFS(Pedidos!$D$5:$D$304,$B37,Pedidos!$K$5:$K$304,"🐢 Retrasado")+COUNTIFS(Pedidos!$D$5:$D$304,$B37,Pedidos!$K$5:$K$304,"🧩 Llegó incompleto"))</f>
        <v/>
      </c>
      <c r="D37" s="100" t="str">
        <f aca="false">IF($B37="","",COUNTIFS(Pedidos!$D$5:$D$304,$B37,Pedidos!$K$5:$K$304,"🐢 Retrasado"))</f>
        <v/>
      </c>
      <c r="E37" s="100" t="str">
        <f aca="false">IF($B37="","",COUNTIFS(Pedidos!$D$5:$D$304,$B37,Pedidos!$K$5:$K$304,"⚠️ Llegó con incidencia"))</f>
        <v/>
      </c>
      <c r="F37" s="101" t="str">
        <f aca="false">IF($B37="","",SUMIFS(Pedidos!$U$5:$U$304,Pedidos!$D$5:$D$304,$B37))</f>
        <v/>
      </c>
      <c r="G37" s="101" t="str">
        <f aca="true">IF($B37="","",SUMIFS(Pedidos!$I$5:$I$304,Pedidos!$D$5:$D$304,$B37,Pedidos!$C$5:$C$304,"&gt;="&amp;DATE(YEAR(TODAY()),MONTH(TODAY()),1),Pedidos!$K$5:$K$304,"&lt;&gt;✖️ Anulado"))</f>
        <v/>
      </c>
      <c r="H37" s="101" t="str">
        <f aca="true">IF($B37="","",SUMIFS(Pedidos!$I$5:$I$304,Pedidos!$D$5:$D$304,$B37,Pedidos!$C$5:$C$304,"&gt;="&amp;DATE(YEAR(TODAY()),1,1),Pedidos!$K$5:$K$304,"&lt;&gt;✖️ Anulado"))</f>
        <v/>
      </c>
      <c r="I37" s="102" t="str">
        <f aca="false">IF($B37="","",IFERROR(AVERAGEIFS(Pedidos!$S$5:$S$304,Pedidos!$D$5:$D$304,$B37),""))</f>
        <v/>
      </c>
      <c r="J37" s="100" t="str">
        <f aca="false">IF(OR($B37="",Listas!$E$37=""),"",Listas!$E$37)</f>
        <v/>
      </c>
      <c r="K37" s="100" t="str">
        <f aca="false">IF($B37="","",COUNTIFS(Pedidos!$D$5:$D$304,$B37,Pedidos!$O$5:$O$304,"&lt;&gt;",Pedidos!$L$5:$L$304,"&gt;0"))</f>
        <v/>
      </c>
      <c r="L37" s="103" t="str">
        <f aca="false">IF(OR($B37="",N(G37)&lt;=0),"",G37+ROW()/1000000)</f>
        <v/>
      </c>
    </row>
    <row r="38" customFormat="false" ht="21" hidden="false" customHeight="true" outlineLevel="0" collapsed="false">
      <c r="B38" s="104" t="str">
        <f aca="false">IF(Listas!$B$38="","",Listas!$B$38)</f>
        <v/>
      </c>
      <c r="C38" s="105" t="str">
        <f aca="false">IF($B38="","",COUNTIFS(Pedidos!$D$5:$D$304,$B38,Pedidos!$K$5:$K$304,"🛒 Por pedir")+COUNTIFS(Pedidos!$D$5:$D$304,$B38,Pedidos!$K$5:$K$304,"📦 Pedido (esperando)")+COUNTIFS(Pedidos!$D$5:$D$304,$B38,Pedidos!$K$5:$K$304,"🐢 Retrasado")+COUNTIFS(Pedidos!$D$5:$D$304,$B38,Pedidos!$K$5:$K$304,"🧩 Llegó incompleto"))</f>
        <v/>
      </c>
      <c r="D38" s="105" t="str">
        <f aca="false">IF($B38="","",COUNTIFS(Pedidos!$D$5:$D$304,$B38,Pedidos!$K$5:$K$304,"🐢 Retrasado"))</f>
        <v/>
      </c>
      <c r="E38" s="105" t="str">
        <f aca="false">IF($B38="","",COUNTIFS(Pedidos!$D$5:$D$304,$B38,Pedidos!$K$5:$K$304,"⚠️ Llegó con incidencia"))</f>
        <v/>
      </c>
      <c r="F38" s="106" t="str">
        <f aca="false">IF($B38="","",SUMIFS(Pedidos!$U$5:$U$304,Pedidos!$D$5:$D$304,$B38))</f>
        <v/>
      </c>
      <c r="G38" s="106" t="str">
        <f aca="true">IF($B38="","",SUMIFS(Pedidos!$I$5:$I$304,Pedidos!$D$5:$D$304,$B38,Pedidos!$C$5:$C$304,"&gt;="&amp;DATE(YEAR(TODAY()),MONTH(TODAY()),1),Pedidos!$K$5:$K$304,"&lt;&gt;✖️ Anulado"))</f>
        <v/>
      </c>
      <c r="H38" s="106" t="str">
        <f aca="true">IF($B38="","",SUMIFS(Pedidos!$I$5:$I$304,Pedidos!$D$5:$D$304,$B38,Pedidos!$C$5:$C$304,"&gt;="&amp;DATE(YEAR(TODAY()),1,1),Pedidos!$K$5:$K$304,"&lt;&gt;✖️ Anulado"))</f>
        <v/>
      </c>
      <c r="I38" s="107" t="str">
        <f aca="false">IF($B38="","",IFERROR(AVERAGEIFS(Pedidos!$S$5:$S$304,Pedidos!$D$5:$D$304,$B38),""))</f>
        <v/>
      </c>
      <c r="J38" s="105" t="str">
        <f aca="false">IF(OR($B38="",Listas!$E$38=""),"",Listas!$E$38)</f>
        <v/>
      </c>
      <c r="K38" s="105" t="str">
        <f aca="false">IF($B38="","",COUNTIFS(Pedidos!$D$5:$D$304,$B38,Pedidos!$O$5:$O$304,"&lt;&gt;",Pedidos!$L$5:$L$304,"&gt;0"))</f>
        <v/>
      </c>
      <c r="L38" s="103" t="str">
        <f aca="false">IF(OR($B38="",N(G38)&lt;=0),"",G38+ROW()/1000000)</f>
        <v/>
      </c>
    </row>
    <row r="39" customFormat="false" ht="21" hidden="false" customHeight="true" outlineLevel="0" collapsed="false">
      <c r="B39" s="99" t="str">
        <f aca="false">IF(Listas!$B$39="","",Listas!$B$39)</f>
        <v/>
      </c>
      <c r="C39" s="100" t="str">
        <f aca="false">IF($B39="","",COUNTIFS(Pedidos!$D$5:$D$304,$B39,Pedidos!$K$5:$K$304,"🛒 Por pedir")+COUNTIFS(Pedidos!$D$5:$D$304,$B39,Pedidos!$K$5:$K$304,"📦 Pedido (esperando)")+COUNTIFS(Pedidos!$D$5:$D$304,$B39,Pedidos!$K$5:$K$304,"🐢 Retrasado")+COUNTIFS(Pedidos!$D$5:$D$304,$B39,Pedidos!$K$5:$K$304,"🧩 Llegó incompleto"))</f>
        <v/>
      </c>
      <c r="D39" s="100" t="str">
        <f aca="false">IF($B39="","",COUNTIFS(Pedidos!$D$5:$D$304,$B39,Pedidos!$K$5:$K$304,"🐢 Retrasado"))</f>
        <v/>
      </c>
      <c r="E39" s="100" t="str">
        <f aca="false">IF($B39="","",COUNTIFS(Pedidos!$D$5:$D$304,$B39,Pedidos!$K$5:$K$304,"⚠️ Llegó con incidencia"))</f>
        <v/>
      </c>
      <c r="F39" s="101" t="str">
        <f aca="false">IF($B39="","",SUMIFS(Pedidos!$U$5:$U$304,Pedidos!$D$5:$D$304,$B39))</f>
        <v/>
      </c>
      <c r="G39" s="101" t="str">
        <f aca="true">IF($B39="","",SUMIFS(Pedidos!$I$5:$I$304,Pedidos!$D$5:$D$304,$B39,Pedidos!$C$5:$C$304,"&gt;="&amp;DATE(YEAR(TODAY()),MONTH(TODAY()),1),Pedidos!$K$5:$K$304,"&lt;&gt;✖️ Anulado"))</f>
        <v/>
      </c>
      <c r="H39" s="101" t="str">
        <f aca="true">IF($B39="","",SUMIFS(Pedidos!$I$5:$I$304,Pedidos!$D$5:$D$304,$B39,Pedidos!$C$5:$C$304,"&gt;="&amp;DATE(YEAR(TODAY()),1,1),Pedidos!$K$5:$K$304,"&lt;&gt;✖️ Anulado"))</f>
        <v/>
      </c>
      <c r="I39" s="102" t="str">
        <f aca="false">IF($B39="","",IFERROR(AVERAGEIFS(Pedidos!$S$5:$S$304,Pedidos!$D$5:$D$304,$B39),""))</f>
        <v/>
      </c>
      <c r="J39" s="100" t="str">
        <f aca="false">IF(OR($B39="",Listas!$E$39=""),"",Listas!$E$39)</f>
        <v/>
      </c>
      <c r="K39" s="100" t="str">
        <f aca="false">IF($B39="","",COUNTIFS(Pedidos!$D$5:$D$304,$B39,Pedidos!$O$5:$O$304,"&lt;&gt;",Pedidos!$L$5:$L$304,"&gt;0"))</f>
        <v/>
      </c>
      <c r="L39" s="103" t="str">
        <f aca="false">IF(OR($B39="",N(G39)&lt;=0),"",G39+ROW()/1000000)</f>
        <v/>
      </c>
    </row>
    <row r="40" customFormat="false" ht="21" hidden="false" customHeight="true" outlineLevel="0" collapsed="false">
      <c r="B40" s="104" t="str">
        <f aca="false">IF(Listas!$B$40="","",Listas!$B$40)</f>
        <v/>
      </c>
      <c r="C40" s="105" t="str">
        <f aca="false">IF($B40="","",COUNTIFS(Pedidos!$D$5:$D$304,$B40,Pedidos!$K$5:$K$304,"🛒 Por pedir")+COUNTIFS(Pedidos!$D$5:$D$304,$B40,Pedidos!$K$5:$K$304,"📦 Pedido (esperando)")+COUNTIFS(Pedidos!$D$5:$D$304,$B40,Pedidos!$K$5:$K$304,"🐢 Retrasado")+COUNTIFS(Pedidos!$D$5:$D$304,$B40,Pedidos!$K$5:$K$304,"🧩 Llegó incompleto"))</f>
        <v/>
      </c>
      <c r="D40" s="105" t="str">
        <f aca="false">IF($B40="","",COUNTIFS(Pedidos!$D$5:$D$304,$B40,Pedidos!$K$5:$K$304,"🐢 Retrasado"))</f>
        <v/>
      </c>
      <c r="E40" s="105" t="str">
        <f aca="false">IF($B40="","",COUNTIFS(Pedidos!$D$5:$D$304,$B40,Pedidos!$K$5:$K$304,"⚠️ Llegó con incidencia"))</f>
        <v/>
      </c>
      <c r="F40" s="106" t="str">
        <f aca="false">IF($B40="","",SUMIFS(Pedidos!$U$5:$U$304,Pedidos!$D$5:$D$304,$B40))</f>
        <v/>
      </c>
      <c r="G40" s="106" t="str">
        <f aca="true">IF($B40="","",SUMIFS(Pedidos!$I$5:$I$304,Pedidos!$D$5:$D$304,$B40,Pedidos!$C$5:$C$304,"&gt;="&amp;DATE(YEAR(TODAY()),MONTH(TODAY()),1),Pedidos!$K$5:$K$304,"&lt;&gt;✖️ Anulado"))</f>
        <v/>
      </c>
      <c r="H40" s="106" t="str">
        <f aca="true">IF($B40="","",SUMIFS(Pedidos!$I$5:$I$304,Pedidos!$D$5:$D$304,$B40,Pedidos!$C$5:$C$304,"&gt;="&amp;DATE(YEAR(TODAY()),1,1),Pedidos!$K$5:$K$304,"&lt;&gt;✖️ Anulado"))</f>
        <v/>
      </c>
      <c r="I40" s="107" t="str">
        <f aca="false">IF($B40="","",IFERROR(AVERAGEIFS(Pedidos!$S$5:$S$304,Pedidos!$D$5:$D$304,$B40),""))</f>
        <v/>
      </c>
      <c r="J40" s="105" t="str">
        <f aca="false">IF(OR($B40="",Listas!$E$40=""),"",Listas!$E$40)</f>
        <v/>
      </c>
      <c r="K40" s="105" t="str">
        <f aca="false">IF($B40="","",COUNTIFS(Pedidos!$D$5:$D$304,$B40,Pedidos!$O$5:$O$304,"&lt;&gt;",Pedidos!$L$5:$L$304,"&gt;0"))</f>
        <v/>
      </c>
      <c r="L40" s="103" t="str">
        <f aca="false">IF(OR($B40="",N(G40)&lt;=0),"",G40+ROW()/1000000)</f>
        <v/>
      </c>
    </row>
    <row r="41" customFormat="false" ht="21" hidden="false" customHeight="true" outlineLevel="0" collapsed="false">
      <c r="B41" s="99" t="str">
        <f aca="false">IF(Listas!$B$41="","",Listas!$B$41)</f>
        <v/>
      </c>
      <c r="C41" s="100" t="str">
        <f aca="false">IF($B41="","",COUNTIFS(Pedidos!$D$5:$D$304,$B41,Pedidos!$K$5:$K$304,"🛒 Por pedir")+COUNTIFS(Pedidos!$D$5:$D$304,$B41,Pedidos!$K$5:$K$304,"📦 Pedido (esperando)")+COUNTIFS(Pedidos!$D$5:$D$304,$B41,Pedidos!$K$5:$K$304,"🐢 Retrasado")+COUNTIFS(Pedidos!$D$5:$D$304,$B41,Pedidos!$K$5:$K$304,"🧩 Llegó incompleto"))</f>
        <v/>
      </c>
      <c r="D41" s="100" t="str">
        <f aca="false">IF($B41="","",COUNTIFS(Pedidos!$D$5:$D$304,$B41,Pedidos!$K$5:$K$304,"🐢 Retrasado"))</f>
        <v/>
      </c>
      <c r="E41" s="100" t="str">
        <f aca="false">IF($B41="","",COUNTIFS(Pedidos!$D$5:$D$304,$B41,Pedidos!$K$5:$K$304,"⚠️ Llegó con incidencia"))</f>
        <v/>
      </c>
      <c r="F41" s="101" t="str">
        <f aca="false">IF($B41="","",SUMIFS(Pedidos!$U$5:$U$304,Pedidos!$D$5:$D$304,$B41))</f>
        <v/>
      </c>
      <c r="G41" s="101" t="str">
        <f aca="true">IF($B41="","",SUMIFS(Pedidos!$I$5:$I$304,Pedidos!$D$5:$D$304,$B41,Pedidos!$C$5:$C$304,"&gt;="&amp;DATE(YEAR(TODAY()),MONTH(TODAY()),1),Pedidos!$K$5:$K$304,"&lt;&gt;✖️ Anulado"))</f>
        <v/>
      </c>
      <c r="H41" s="101" t="str">
        <f aca="true">IF($B41="","",SUMIFS(Pedidos!$I$5:$I$304,Pedidos!$D$5:$D$304,$B41,Pedidos!$C$5:$C$304,"&gt;="&amp;DATE(YEAR(TODAY()),1,1),Pedidos!$K$5:$K$304,"&lt;&gt;✖️ Anulado"))</f>
        <v/>
      </c>
      <c r="I41" s="102" t="str">
        <f aca="false">IF($B41="","",IFERROR(AVERAGEIFS(Pedidos!$S$5:$S$304,Pedidos!$D$5:$D$304,$B41),""))</f>
        <v/>
      </c>
      <c r="J41" s="100" t="str">
        <f aca="false">IF(OR($B41="",Listas!$E$41=""),"",Listas!$E$41)</f>
        <v/>
      </c>
      <c r="K41" s="100" t="str">
        <f aca="false">IF($B41="","",COUNTIFS(Pedidos!$D$5:$D$304,$B41,Pedidos!$O$5:$O$304,"&lt;&gt;",Pedidos!$L$5:$L$304,"&gt;0"))</f>
        <v/>
      </c>
      <c r="L41" s="103" t="str">
        <f aca="false">IF(OR($B41="",N(G41)&lt;=0),"",G41+ROW()/1000000)</f>
        <v/>
      </c>
    </row>
    <row r="42" customFormat="false" ht="21" hidden="false" customHeight="true" outlineLevel="0" collapsed="false">
      <c r="B42" s="104" t="str">
        <f aca="false">IF(Listas!$B$42="","",Listas!$B$42)</f>
        <v/>
      </c>
      <c r="C42" s="105" t="str">
        <f aca="false">IF($B42="","",COUNTIFS(Pedidos!$D$5:$D$304,$B42,Pedidos!$K$5:$K$304,"🛒 Por pedir")+COUNTIFS(Pedidos!$D$5:$D$304,$B42,Pedidos!$K$5:$K$304,"📦 Pedido (esperando)")+COUNTIFS(Pedidos!$D$5:$D$304,$B42,Pedidos!$K$5:$K$304,"🐢 Retrasado")+COUNTIFS(Pedidos!$D$5:$D$304,$B42,Pedidos!$K$5:$K$304,"🧩 Llegó incompleto"))</f>
        <v/>
      </c>
      <c r="D42" s="105" t="str">
        <f aca="false">IF($B42="","",COUNTIFS(Pedidos!$D$5:$D$304,$B42,Pedidos!$K$5:$K$304,"🐢 Retrasado"))</f>
        <v/>
      </c>
      <c r="E42" s="105" t="str">
        <f aca="false">IF($B42="","",COUNTIFS(Pedidos!$D$5:$D$304,$B42,Pedidos!$K$5:$K$304,"⚠️ Llegó con incidencia"))</f>
        <v/>
      </c>
      <c r="F42" s="106" t="str">
        <f aca="false">IF($B42="","",SUMIFS(Pedidos!$U$5:$U$304,Pedidos!$D$5:$D$304,$B42))</f>
        <v/>
      </c>
      <c r="G42" s="106" t="str">
        <f aca="true">IF($B42="","",SUMIFS(Pedidos!$I$5:$I$304,Pedidos!$D$5:$D$304,$B42,Pedidos!$C$5:$C$304,"&gt;="&amp;DATE(YEAR(TODAY()),MONTH(TODAY()),1),Pedidos!$K$5:$K$304,"&lt;&gt;✖️ Anulado"))</f>
        <v/>
      </c>
      <c r="H42" s="106" t="str">
        <f aca="true">IF($B42="","",SUMIFS(Pedidos!$I$5:$I$304,Pedidos!$D$5:$D$304,$B42,Pedidos!$C$5:$C$304,"&gt;="&amp;DATE(YEAR(TODAY()),1,1),Pedidos!$K$5:$K$304,"&lt;&gt;✖️ Anulado"))</f>
        <v/>
      </c>
      <c r="I42" s="107" t="str">
        <f aca="false">IF($B42="","",IFERROR(AVERAGEIFS(Pedidos!$S$5:$S$304,Pedidos!$D$5:$D$304,$B42),""))</f>
        <v/>
      </c>
      <c r="J42" s="105" t="str">
        <f aca="false">IF(OR($B42="",Listas!$E$42=""),"",Listas!$E$42)</f>
        <v/>
      </c>
      <c r="K42" s="105" t="str">
        <f aca="false">IF($B42="","",COUNTIFS(Pedidos!$D$5:$D$304,$B42,Pedidos!$O$5:$O$304,"&lt;&gt;",Pedidos!$L$5:$L$304,"&gt;0"))</f>
        <v/>
      </c>
      <c r="L42" s="103" t="str">
        <f aca="false">IF(OR($B42="",N(G42)&lt;=0),"",G42+ROW()/1000000)</f>
        <v/>
      </c>
    </row>
    <row r="43" customFormat="false" ht="21" hidden="false" customHeight="true" outlineLevel="0" collapsed="false">
      <c r="B43" s="99" t="str">
        <f aca="false">IF(Listas!$B$43="","",Listas!$B$43)</f>
        <v/>
      </c>
      <c r="C43" s="100" t="str">
        <f aca="false">IF($B43="","",COUNTIFS(Pedidos!$D$5:$D$304,$B43,Pedidos!$K$5:$K$304,"🛒 Por pedir")+COUNTIFS(Pedidos!$D$5:$D$304,$B43,Pedidos!$K$5:$K$304,"📦 Pedido (esperando)")+COUNTIFS(Pedidos!$D$5:$D$304,$B43,Pedidos!$K$5:$K$304,"🐢 Retrasado")+COUNTIFS(Pedidos!$D$5:$D$304,$B43,Pedidos!$K$5:$K$304,"🧩 Llegó incompleto"))</f>
        <v/>
      </c>
      <c r="D43" s="100" t="str">
        <f aca="false">IF($B43="","",COUNTIFS(Pedidos!$D$5:$D$304,$B43,Pedidos!$K$5:$K$304,"🐢 Retrasado"))</f>
        <v/>
      </c>
      <c r="E43" s="100" t="str">
        <f aca="false">IF($B43="","",COUNTIFS(Pedidos!$D$5:$D$304,$B43,Pedidos!$K$5:$K$304,"⚠️ Llegó con incidencia"))</f>
        <v/>
      </c>
      <c r="F43" s="101" t="str">
        <f aca="false">IF($B43="","",SUMIFS(Pedidos!$U$5:$U$304,Pedidos!$D$5:$D$304,$B43))</f>
        <v/>
      </c>
      <c r="G43" s="101" t="str">
        <f aca="true">IF($B43="","",SUMIFS(Pedidos!$I$5:$I$304,Pedidos!$D$5:$D$304,$B43,Pedidos!$C$5:$C$304,"&gt;="&amp;DATE(YEAR(TODAY()),MONTH(TODAY()),1),Pedidos!$K$5:$K$304,"&lt;&gt;✖️ Anulado"))</f>
        <v/>
      </c>
      <c r="H43" s="101" t="str">
        <f aca="true">IF($B43="","",SUMIFS(Pedidos!$I$5:$I$304,Pedidos!$D$5:$D$304,$B43,Pedidos!$C$5:$C$304,"&gt;="&amp;DATE(YEAR(TODAY()),1,1),Pedidos!$K$5:$K$304,"&lt;&gt;✖️ Anulado"))</f>
        <v/>
      </c>
      <c r="I43" s="102" t="str">
        <f aca="false">IF($B43="","",IFERROR(AVERAGEIFS(Pedidos!$S$5:$S$304,Pedidos!$D$5:$D$304,$B43),""))</f>
        <v/>
      </c>
      <c r="J43" s="100" t="str">
        <f aca="false">IF(OR($B43="",Listas!$E$43=""),"",Listas!$E$43)</f>
        <v/>
      </c>
      <c r="K43" s="100" t="str">
        <f aca="false">IF($B43="","",COUNTIFS(Pedidos!$D$5:$D$304,$B43,Pedidos!$O$5:$O$304,"&lt;&gt;",Pedidos!$L$5:$L$304,"&gt;0"))</f>
        <v/>
      </c>
      <c r="L43" s="103" t="str">
        <f aca="false">IF(OR($B43="",N(G43)&lt;=0),"",G43+ROW()/1000000)</f>
        <v/>
      </c>
    </row>
    <row r="44" customFormat="false" ht="21" hidden="false" customHeight="true" outlineLevel="0" collapsed="false">
      <c r="B44" s="104" t="str">
        <f aca="false">IF(Listas!$B$44="","",Listas!$B$44)</f>
        <v/>
      </c>
      <c r="C44" s="105" t="str">
        <f aca="false">IF($B44="","",COUNTIFS(Pedidos!$D$5:$D$304,$B44,Pedidos!$K$5:$K$304,"🛒 Por pedir")+COUNTIFS(Pedidos!$D$5:$D$304,$B44,Pedidos!$K$5:$K$304,"📦 Pedido (esperando)")+COUNTIFS(Pedidos!$D$5:$D$304,$B44,Pedidos!$K$5:$K$304,"🐢 Retrasado")+COUNTIFS(Pedidos!$D$5:$D$304,$B44,Pedidos!$K$5:$K$304,"🧩 Llegó incompleto"))</f>
        <v/>
      </c>
      <c r="D44" s="105" t="str">
        <f aca="false">IF($B44="","",COUNTIFS(Pedidos!$D$5:$D$304,$B44,Pedidos!$K$5:$K$304,"🐢 Retrasado"))</f>
        <v/>
      </c>
      <c r="E44" s="105" t="str">
        <f aca="false">IF($B44="","",COUNTIFS(Pedidos!$D$5:$D$304,$B44,Pedidos!$K$5:$K$304,"⚠️ Llegó con incidencia"))</f>
        <v/>
      </c>
      <c r="F44" s="106" t="str">
        <f aca="false">IF($B44="","",SUMIFS(Pedidos!$U$5:$U$304,Pedidos!$D$5:$D$304,$B44))</f>
        <v/>
      </c>
      <c r="G44" s="106" t="str">
        <f aca="true">IF($B44="","",SUMIFS(Pedidos!$I$5:$I$304,Pedidos!$D$5:$D$304,$B44,Pedidos!$C$5:$C$304,"&gt;="&amp;DATE(YEAR(TODAY()),MONTH(TODAY()),1),Pedidos!$K$5:$K$304,"&lt;&gt;✖️ Anulado"))</f>
        <v/>
      </c>
      <c r="H44" s="106" t="str">
        <f aca="true">IF($B44="","",SUMIFS(Pedidos!$I$5:$I$304,Pedidos!$D$5:$D$304,$B44,Pedidos!$C$5:$C$304,"&gt;="&amp;DATE(YEAR(TODAY()),1,1),Pedidos!$K$5:$K$304,"&lt;&gt;✖️ Anulado"))</f>
        <v/>
      </c>
      <c r="I44" s="107" t="str">
        <f aca="false">IF($B44="","",IFERROR(AVERAGEIFS(Pedidos!$S$5:$S$304,Pedidos!$D$5:$D$304,$B44),""))</f>
        <v/>
      </c>
      <c r="J44" s="105" t="str">
        <f aca="false">IF(OR($B44="",Listas!$E$44=""),"",Listas!$E$44)</f>
        <v/>
      </c>
      <c r="K44" s="105" t="str">
        <f aca="false">IF($B44="","",COUNTIFS(Pedidos!$D$5:$D$304,$B44,Pedidos!$O$5:$O$304,"&lt;&gt;",Pedidos!$L$5:$L$304,"&gt;0"))</f>
        <v/>
      </c>
      <c r="L44" s="103" t="str">
        <f aca="false">IF(OR($B44="",N(G44)&lt;=0),"",G44+ROW()/1000000)</f>
        <v/>
      </c>
    </row>
    <row r="45" customFormat="false" ht="21" hidden="false" customHeight="true" outlineLevel="0" collapsed="false">
      <c r="B45" s="99" t="str">
        <f aca="false">IF(Listas!$B$45="","",Listas!$B$45)</f>
        <v/>
      </c>
      <c r="C45" s="100" t="str">
        <f aca="false">IF($B45="","",COUNTIFS(Pedidos!$D$5:$D$304,$B45,Pedidos!$K$5:$K$304,"🛒 Por pedir")+COUNTIFS(Pedidos!$D$5:$D$304,$B45,Pedidos!$K$5:$K$304,"📦 Pedido (esperando)")+COUNTIFS(Pedidos!$D$5:$D$304,$B45,Pedidos!$K$5:$K$304,"🐢 Retrasado")+COUNTIFS(Pedidos!$D$5:$D$304,$B45,Pedidos!$K$5:$K$304,"🧩 Llegó incompleto"))</f>
        <v/>
      </c>
      <c r="D45" s="100" t="str">
        <f aca="false">IF($B45="","",COUNTIFS(Pedidos!$D$5:$D$304,$B45,Pedidos!$K$5:$K$304,"🐢 Retrasado"))</f>
        <v/>
      </c>
      <c r="E45" s="100" t="str">
        <f aca="false">IF($B45="","",COUNTIFS(Pedidos!$D$5:$D$304,$B45,Pedidos!$K$5:$K$304,"⚠️ Llegó con incidencia"))</f>
        <v/>
      </c>
      <c r="F45" s="101" t="str">
        <f aca="false">IF($B45="","",SUMIFS(Pedidos!$U$5:$U$304,Pedidos!$D$5:$D$304,$B45))</f>
        <v/>
      </c>
      <c r="G45" s="101" t="str">
        <f aca="true">IF($B45="","",SUMIFS(Pedidos!$I$5:$I$304,Pedidos!$D$5:$D$304,$B45,Pedidos!$C$5:$C$304,"&gt;="&amp;DATE(YEAR(TODAY()),MONTH(TODAY()),1),Pedidos!$K$5:$K$304,"&lt;&gt;✖️ Anulado"))</f>
        <v/>
      </c>
      <c r="H45" s="101" t="str">
        <f aca="true">IF($B45="","",SUMIFS(Pedidos!$I$5:$I$304,Pedidos!$D$5:$D$304,$B45,Pedidos!$C$5:$C$304,"&gt;="&amp;DATE(YEAR(TODAY()),1,1),Pedidos!$K$5:$K$304,"&lt;&gt;✖️ Anulado"))</f>
        <v/>
      </c>
      <c r="I45" s="102" t="str">
        <f aca="false">IF($B45="","",IFERROR(AVERAGEIFS(Pedidos!$S$5:$S$304,Pedidos!$D$5:$D$304,$B45),""))</f>
        <v/>
      </c>
      <c r="J45" s="100" t="str">
        <f aca="false">IF(OR($B45="",Listas!$E$45=""),"",Listas!$E$45)</f>
        <v/>
      </c>
      <c r="K45" s="100" t="str">
        <f aca="false">IF($B45="","",COUNTIFS(Pedidos!$D$5:$D$304,$B45,Pedidos!$O$5:$O$304,"&lt;&gt;",Pedidos!$L$5:$L$304,"&gt;0"))</f>
        <v/>
      </c>
      <c r="L45" s="103" t="str">
        <f aca="false">IF(OR($B45="",N(G45)&lt;=0),"",G45+ROW()/1000000)</f>
        <v/>
      </c>
    </row>
    <row r="46" customFormat="false" ht="21" hidden="false" customHeight="true" outlineLevel="0" collapsed="false">
      <c r="B46" s="104" t="str">
        <f aca="false">IF(Listas!$B$46="","",Listas!$B$46)</f>
        <v/>
      </c>
      <c r="C46" s="105" t="str">
        <f aca="false">IF($B46="","",COUNTIFS(Pedidos!$D$5:$D$304,$B46,Pedidos!$K$5:$K$304,"🛒 Por pedir")+COUNTIFS(Pedidos!$D$5:$D$304,$B46,Pedidos!$K$5:$K$304,"📦 Pedido (esperando)")+COUNTIFS(Pedidos!$D$5:$D$304,$B46,Pedidos!$K$5:$K$304,"🐢 Retrasado")+COUNTIFS(Pedidos!$D$5:$D$304,$B46,Pedidos!$K$5:$K$304,"🧩 Llegó incompleto"))</f>
        <v/>
      </c>
      <c r="D46" s="105" t="str">
        <f aca="false">IF($B46="","",COUNTIFS(Pedidos!$D$5:$D$304,$B46,Pedidos!$K$5:$K$304,"🐢 Retrasado"))</f>
        <v/>
      </c>
      <c r="E46" s="105" t="str">
        <f aca="false">IF($B46="","",COUNTIFS(Pedidos!$D$5:$D$304,$B46,Pedidos!$K$5:$K$304,"⚠️ Llegó con incidencia"))</f>
        <v/>
      </c>
      <c r="F46" s="106" t="str">
        <f aca="false">IF($B46="","",SUMIFS(Pedidos!$U$5:$U$304,Pedidos!$D$5:$D$304,$B46))</f>
        <v/>
      </c>
      <c r="G46" s="106" t="str">
        <f aca="true">IF($B46="","",SUMIFS(Pedidos!$I$5:$I$304,Pedidos!$D$5:$D$304,$B46,Pedidos!$C$5:$C$304,"&gt;="&amp;DATE(YEAR(TODAY()),MONTH(TODAY()),1),Pedidos!$K$5:$K$304,"&lt;&gt;✖️ Anulado"))</f>
        <v/>
      </c>
      <c r="H46" s="106" t="str">
        <f aca="true">IF($B46="","",SUMIFS(Pedidos!$I$5:$I$304,Pedidos!$D$5:$D$304,$B46,Pedidos!$C$5:$C$304,"&gt;="&amp;DATE(YEAR(TODAY()),1,1),Pedidos!$K$5:$K$304,"&lt;&gt;✖️ Anulado"))</f>
        <v/>
      </c>
      <c r="I46" s="107" t="str">
        <f aca="false">IF($B46="","",IFERROR(AVERAGEIFS(Pedidos!$S$5:$S$304,Pedidos!$D$5:$D$304,$B46),""))</f>
        <v/>
      </c>
      <c r="J46" s="105" t="str">
        <f aca="false">IF(OR($B46="",Listas!$E$46=""),"",Listas!$E$46)</f>
        <v/>
      </c>
      <c r="K46" s="105" t="str">
        <f aca="false">IF($B46="","",COUNTIFS(Pedidos!$D$5:$D$304,$B46,Pedidos!$O$5:$O$304,"&lt;&gt;",Pedidos!$L$5:$L$304,"&gt;0"))</f>
        <v/>
      </c>
      <c r="L46" s="103" t="str">
        <f aca="false">IF(OR($B46="",N(G46)&lt;=0),"",G46+ROW()/1000000)</f>
        <v/>
      </c>
    </row>
    <row r="47" customFormat="false" ht="21" hidden="false" customHeight="true" outlineLevel="0" collapsed="false">
      <c r="B47" s="99" t="str">
        <f aca="false">IF(Listas!$B$47="","",Listas!$B$47)</f>
        <v/>
      </c>
      <c r="C47" s="100" t="str">
        <f aca="false">IF($B47="","",COUNTIFS(Pedidos!$D$5:$D$304,$B47,Pedidos!$K$5:$K$304,"🛒 Por pedir")+COUNTIFS(Pedidos!$D$5:$D$304,$B47,Pedidos!$K$5:$K$304,"📦 Pedido (esperando)")+COUNTIFS(Pedidos!$D$5:$D$304,$B47,Pedidos!$K$5:$K$304,"🐢 Retrasado")+COUNTIFS(Pedidos!$D$5:$D$304,$B47,Pedidos!$K$5:$K$304,"🧩 Llegó incompleto"))</f>
        <v/>
      </c>
      <c r="D47" s="100" t="str">
        <f aca="false">IF($B47="","",COUNTIFS(Pedidos!$D$5:$D$304,$B47,Pedidos!$K$5:$K$304,"🐢 Retrasado"))</f>
        <v/>
      </c>
      <c r="E47" s="100" t="str">
        <f aca="false">IF($B47="","",COUNTIFS(Pedidos!$D$5:$D$304,$B47,Pedidos!$K$5:$K$304,"⚠️ Llegó con incidencia"))</f>
        <v/>
      </c>
      <c r="F47" s="101" t="str">
        <f aca="false">IF($B47="","",SUMIFS(Pedidos!$U$5:$U$304,Pedidos!$D$5:$D$304,$B47))</f>
        <v/>
      </c>
      <c r="G47" s="101" t="str">
        <f aca="true">IF($B47="","",SUMIFS(Pedidos!$I$5:$I$304,Pedidos!$D$5:$D$304,$B47,Pedidos!$C$5:$C$304,"&gt;="&amp;DATE(YEAR(TODAY()),MONTH(TODAY()),1),Pedidos!$K$5:$K$304,"&lt;&gt;✖️ Anulado"))</f>
        <v/>
      </c>
      <c r="H47" s="101" t="str">
        <f aca="true">IF($B47="","",SUMIFS(Pedidos!$I$5:$I$304,Pedidos!$D$5:$D$304,$B47,Pedidos!$C$5:$C$304,"&gt;="&amp;DATE(YEAR(TODAY()),1,1),Pedidos!$K$5:$K$304,"&lt;&gt;✖️ Anulado"))</f>
        <v/>
      </c>
      <c r="I47" s="102" t="str">
        <f aca="false">IF($B47="","",IFERROR(AVERAGEIFS(Pedidos!$S$5:$S$304,Pedidos!$D$5:$D$304,$B47),""))</f>
        <v/>
      </c>
      <c r="J47" s="100" t="str">
        <f aca="false">IF(OR($B47="",Listas!$E$47=""),"",Listas!$E$47)</f>
        <v/>
      </c>
      <c r="K47" s="100" t="str">
        <f aca="false">IF($B47="","",COUNTIFS(Pedidos!$D$5:$D$304,$B47,Pedidos!$O$5:$O$304,"&lt;&gt;",Pedidos!$L$5:$L$304,"&gt;0"))</f>
        <v/>
      </c>
      <c r="L47" s="103" t="str">
        <f aca="false">IF(OR($B47="",N(G47)&lt;=0),"",G47+ROW()/1000000)</f>
        <v/>
      </c>
    </row>
    <row r="48" customFormat="false" ht="21" hidden="false" customHeight="true" outlineLevel="0" collapsed="false">
      <c r="B48" s="104" t="str">
        <f aca="false">IF(Listas!$B$48="","",Listas!$B$48)</f>
        <v/>
      </c>
      <c r="C48" s="105" t="str">
        <f aca="false">IF($B48="","",COUNTIFS(Pedidos!$D$5:$D$304,$B48,Pedidos!$K$5:$K$304,"🛒 Por pedir")+COUNTIFS(Pedidos!$D$5:$D$304,$B48,Pedidos!$K$5:$K$304,"📦 Pedido (esperando)")+COUNTIFS(Pedidos!$D$5:$D$304,$B48,Pedidos!$K$5:$K$304,"🐢 Retrasado")+COUNTIFS(Pedidos!$D$5:$D$304,$B48,Pedidos!$K$5:$K$304,"🧩 Llegó incompleto"))</f>
        <v/>
      </c>
      <c r="D48" s="105" t="str">
        <f aca="false">IF($B48="","",COUNTIFS(Pedidos!$D$5:$D$304,$B48,Pedidos!$K$5:$K$304,"🐢 Retrasado"))</f>
        <v/>
      </c>
      <c r="E48" s="105" t="str">
        <f aca="false">IF($B48="","",COUNTIFS(Pedidos!$D$5:$D$304,$B48,Pedidos!$K$5:$K$304,"⚠️ Llegó con incidencia"))</f>
        <v/>
      </c>
      <c r="F48" s="106" t="str">
        <f aca="false">IF($B48="","",SUMIFS(Pedidos!$U$5:$U$304,Pedidos!$D$5:$D$304,$B48))</f>
        <v/>
      </c>
      <c r="G48" s="106" t="str">
        <f aca="true">IF($B48="","",SUMIFS(Pedidos!$I$5:$I$304,Pedidos!$D$5:$D$304,$B48,Pedidos!$C$5:$C$304,"&gt;="&amp;DATE(YEAR(TODAY()),MONTH(TODAY()),1),Pedidos!$K$5:$K$304,"&lt;&gt;✖️ Anulado"))</f>
        <v/>
      </c>
      <c r="H48" s="106" t="str">
        <f aca="true">IF($B48="","",SUMIFS(Pedidos!$I$5:$I$304,Pedidos!$D$5:$D$304,$B48,Pedidos!$C$5:$C$304,"&gt;="&amp;DATE(YEAR(TODAY()),1,1),Pedidos!$K$5:$K$304,"&lt;&gt;✖️ Anulado"))</f>
        <v/>
      </c>
      <c r="I48" s="107" t="str">
        <f aca="false">IF($B48="","",IFERROR(AVERAGEIFS(Pedidos!$S$5:$S$304,Pedidos!$D$5:$D$304,$B48),""))</f>
        <v/>
      </c>
      <c r="J48" s="105" t="str">
        <f aca="false">IF(OR($B48="",Listas!$E$48=""),"",Listas!$E$48)</f>
        <v/>
      </c>
      <c r="K48" s="105" t="str">
        <f aca="false">IF($B48="","",COUNTIFS(Pedidos!$D$5:$D$304,$B48,Pedidos!$O$5:$O$304,"&lt;&gt;",Pedidos!$L$5:$L$304,"&gt;0"))</f>
        <v/>
      </c>
      <c r="L48" s="103" t="str">
        <f aca="false">IF(OR($B48="",N(G48)&lt;=0),"",G48+ROW()/1000000)</f>
        <v/>
      </c>
    </row>
    <row r="49" customFormat="false" ht="21" hidden="false" customHeight="true" outlineLevel="0" collapsed="false">
      <c r="B49" s="99" t="str">
        <f aca="false">IF(Listas!$B$49="","",Listas!$B$49)</f>
        <v/>
      </c>
      <c r="C49" s="100" t="str">
        <f aca="false">IF($B49="","",COUNTIFS(Pedidos!$D$5:$D$304,$B49,Pedidos!$K$5:$K$304,"🛒 Por pedir")+COUNTIFS(Pedidos!$D$5:$D$304,$B49,Pedidos!$K$5:$K$304,"📦 Pedido (esperando)")+COUNTIFS(Pedidos!$D$5:$D$304,$B49,Pedidos!$K$5:$K$304,"🐢 Retrasado")+COUNTIFS(Pedidos!$D$5:$D$304,$B49,Pedidos!$K$5:$K$304,"🧩 Llegó incompleto"))</f>
        <v/>
      </c>
      <c r="D49" s="100" t="str">
        <f aca="false">IF($B49="","",COUNTIFS(Pedidos!$D$5:$D$304,$B49,Pedidos!$K$5:$K$304,"🐢 Retrasado"))</f>
        <v/>
      </c>
      <c r="E49" s="100" t="str">
        <f aca="false">IF($B49="","",COUNTIFS(Pedidos!$D$5:$D$304,$B49,Pedidos!$K$5:$K$304,"⚠️ Llegó con incidencia"))</f>
        <v/>
      </c>
      <c r="F49" s="101" t="str">
        <f aca="false">IF($B49="","",SUMIFS(Pedidos!$U$5:$U$304,Pedidos!$D$5:$D$304,$B49))</f>
        <v/>
      </c>
      <c r="G49" s="101" t="str">
        <f aca="true">IF($B49="","",SUMIFS(Pedidos!$I$5:$I$304,Pedidos!$D$5:$D$304,$B49,Pedidos!$C$5:$C$304,"&gt;="&amp;DATE(YEAR(TODAY()),MONTH(TODAY()),1),Pedidos!$K$5:$K$304,"&lt;&gt;✖️ Anulado"))</f>
        <v/>
      </c>
      <c r="H49" s="101" t="str">
        <f aca="true">IF($B49="","",SUMIFS(Pedidos!$I$5:$I$304,Pedidos!$D$5:$D$304,$B49,Pedidos!$C$5:$C$304,"&gt;="&amp;DATE(YEAR(TODAY()),1,1),Pedidos!$K$5:$K$304,"&lt;&gt;✖️ Anulado"))</f>
        <v/>
      </c>
      <c r="I49" s="102" t="str">
        <f aca="false">IF($B49="","",IFERROR(AVERAGEIFS(Pedidos!$S$5:$S$304,Pedidos!$D$5:$D$304,$B49),""))</f>
        <v/>
      </c>
      <c r="J49" s="100" t="str">
        <f aca="false">IF(OR($B49="",Listas!$E$49=""),"",Listas!$E$49)</f>
        <v/>
      </c>
      <c r="K49" s="100" t="str">
        <f aca="false">IF($B49="","",COUNTIFS(Pedidos!$D$5:$D$304,$B49,Pedidos!$O$5:$O$304,"&lt;&gt;",Pedidos!$L$5:$L$304,"&gt;0"))</f>
        <v/>
      </c>
      <c r="L49" s="103" t="str">
        <f aca="false">IF(OR($B49="",N(G49)&lt;=0),"",G49+ROW()/1000000)</f>
        <v/>
      </c>
    </row>
    <row r="50" customFormat="false" ht="21" hidden="false" customHeight="true" outlineLevel="0" collapsed="false">
      <c r="B50" s="104" t="str">
        <f aca="false">IF(Listas!$B$50="","",Listas!$B$50)</f>
        <v/>
      </c>
      <c r="C50" s="105" t="str">
        <f aca="false">IF($B50="","",COUNTIFS(Pedidos!$D$5:$D$304,$B50,Pedidos!$K$5:$K$304,"🛒 Por pedir")+COUNTIFS(Pedidos!$D$5:$D$304,$B50,Pedidos!$K$5:$K$304,"📦 Pedido (esperando)")+COUNTIFS(Pedidos!$D$5:$D$304,$B50,Pedidos!$K$5:$K$304,"🐢 Retrasado")+COUNTIFS(Pedidos!$D$5:$D$304,$B50,Pedidos!$K$5:$K$304,"🧩 Llegó incompleto"))</f>
        <v/>
      </c>
      <c r="D50" s="105" t="str">
        <f aca="false">IF($B50="","",COUNTIFS(Pedidos!$D$5:$D$304,$B50,Pedidos!$K$5:$K$304,"🐢 Retrasado"))</f>
        <v/>
      </c>
      <c r="E50" s="105" t="str">
        <f aca="false">IF($B50="","",COUNTIFS(Pedidos!$D$5:$D$304,$B50,Pedidos!$K$5:$K$304,"⚠️ Llegó con incidencia"))</f>
        <v/>
      </c>
      <c r="F50" s="106" t="str">
        <f aca="false">IF($B50="","",SUMIFS(Pedidos!$U$5:$U$304,Pedidos!$D$5:$D$304,$B50))</f>
        <v/>
      </c>
      <c r="G50" s="106" t="str">
        <f aca="true">IF($B50="","",SUMIFS(Pedidos!$I$5:$I$304,Pedidos!$D$5:$D$304,$B50,Pedidos!$C$5:$C$304,"&gt;="&amp;DATE(YEAR(TODAY()),MONTH(TODAY()),1),Pedidos!$K$5:$K$304,"&lt;&gt;✖️ Anulado"))</f>
        <v/>
      </c>
      <c r="H50" s="106" t="str">
        <f aca="true">IF($B50="","",SUMIFS(Pedidos!$I$5:$I$304,Pedidos!$D$5:$D$304,$B50,Pedidos!$C$5:$C$304,"&gt;="&amp;DATE(YEAR(TODAY()),1,1),Pedidos!$K$5:$K$304,"&lt;&gt;✖️ Anulado"))</f>
        <v/>
      </c>
      <c r="I50" s="107" t="str">
        <f aca="false">IF($B50="","",IFERROR(AVERAGEIFS(Pedidos!$S$5:$S$304,Pedidos!$D$5:$D$304,$B50),""))</f>
        <v/>
      </c>
      <c r="J50" s="105" t="str">
        <f aca="false">IF(OR($B50="",Listas!$E$50=""),"",Listas!$E$50)</f>
        <v/>
      </c>
      <c r="K50" s="105" t="str">
        <f aca="false">IF($B50="","",COUNTIFS(Pedidos!$D$5:$D$304,$B50,Pedidos!$O$5:$O$304,"&lt;&gt;",Pedidos!$L$5:$L$304,"&gt;0"))</f>
        <v/>
      </c>
      <c r="L50" s="103" t="str">
        <f aca="false">IF(OR($B50="",N(G50)&lt;=0),"",G50+ROW()/1000000)</f>
        <v/>
      </c>
    </row>
    <row r="51" customFormat="false" ht="21" hidden="false" customHeight="true" outlineLevel="0" collapsed="false">
      <c r="B51" s="99" t="str">
        <f aca="false">IF(Listas!$B$51="","",Listas!$B$51)</f>
        <v/>
      </c>
      <c r="C51" s="100" t="str">
        <f aca="false">IF($B51="","",COUNTIFS(Pedidos!$D$5:$D$304,$B51,Pedidos!$K$5:$K$304,"🛒 Por pedir")+COUNTIFS(Pedidos!$D$5:$D$304,$B51,Pedidos!$K$5:$K$304,"📦 Pedido (esperando)")+COUNTIFS(Pedidos!$D$5:$D$304,$B51,Pedidos!$K$5:$K$304,"🐢 Retrasado")+COUNTIFS(Pedidos!$D$5:$D$304,$B51,Pedidos!$K$5:$K$304,"🧩 Llegó incompleto"))</f>
        <v/>
      </c>
      <c r="D51" s="100" t="str">
        <f aca="false">IF($B51="","",COUNTIFS(Pedidos!$D$5:$D$304,$B51,Pedidos!$K$5:$K$304,"🐢 Retrasado"))</f>
        <v/>
      </c>
      <c r="E51" s="100" t="str">
        <f aca="false">IF($B51="","",COUNTIFS(Pedidos!$D$5:$D$304,$B51,Pedidos!$K$5:$K$304,"⚠️ Llegó con incidencia"))</f>
        <v/>
      </c>
      <c r="F51" s="101" t="str">
        <f aca="false">IF($B51="","",SUMIFS(Pedidos!$U$5:$U$304,Pedidos!$D$5:$D$304,$B51))</f>
        <v/>
      </c>
      <c r="G51" s="101" t="str">
        <f aca="true">IF($B51="","",SUMIFS(Pedidos!$I$5:$I$304,Pedidos!$D$5:$D$304,$B51,Pedidos!$C$5:$C$304,"&gt;="&amp;DATE(YEAR(TODAY()),MONTH(TODAY()),1),Pedidos!$K$5:$K$304,"&lt;&gt;✖️ Anulado"))</f>
        <v/>
      </c>
      <c r="H51" s="101" t="str">
        <f aca="true">IF($B51="","",SUMIFS(Pedidos!$I$5:$I$304,Pedidos!$D$5:$D$304,$B51,Pedidos!$C$5:$C$304,"&gt;="&amp;DATE(YEAR(TODAY()),1,1),Pedidos!$K$5:$K$304,"&lt;&gt;✖️ Anulado"))</f>
        <v/>
      </c>
      <c r="I51" s="102" t="str">
        <f aca="false">IF($B51="","",IFERROR(AVERAGEIFS(Pedidos!$S$5:$S$304,Pedidos!$D$5:$D$304,$B51),""))</f>
        <v/>
      </c>
      <c r="J51" s="100" t="str">
        <f aca="false">IF(OR($B51="",Listas!$E$51=""),"",Listas!$E$51)</f>
        <v/>
      </c>
      <c r="K51" s="100" t="str">
        <f aca="false">IF($B51="","",COUNTIFS(Pedidos!$D$5:$D$304,$B51,Pedidos!$O$5:$O$304,"&lt;&gt;",Pedidos!$L$5:$L$304,"&gt;0"))</f>
        <v/>
      </c>
      <c r="L51" s="103" t="str">
        <f aca="false">IF(OR($B51="",N(G51)&lt;=0),"",G51+ROW()/1000000)</f>
        <v/>
      </c>
    </row>
    <row r="52" customFormat="false" ht="21" hidden="false" customHeight="true" outlineLevel="0" collapsed="false">
      <c r="B52" s="104" t="str">
        <f aca="false">IF(Listas!$B$52="","",Listas!$B$52)</f>
        <v/>
      </c>
      <c r="C52" s="105" t="str">
        <f aca="false">IF($B52="","",COUNTIFS(Pedidos!$D$5:$D$304,$B52,Pedidos!$K$5:$K$304,"🛒 Por pedir")+COUNTIFS(Pedidos!$D$5:$D$304,$B52,Pedidos!$K$5:$K$304,"📦 Pedido (esperando)")+COUNTIFS(Pedidos!$D$5:$D$304,$B52,Pedidos!$K$5:$K$304,"🐢 Retrasado")+COUNTIFS(Pedidos!$D$5:$D$304,$B52,Pedidos!$K$5:$K$304,"🧩 Llegó incompleto"))</f>
        <v/>
      </c>
      <c r="D52" s="105" t="str">
        <f aca="false">IF($B52="","",COUNTIFS(Pedidos!$D$5:$D$304,$B52,Pedidos!$K$5:$K$304,"🐢 Retrasado"))</f>
        <v/>
      </c>
      <c r="E52" s="105" t="str">
        <f aca="false">IF($B52="","",COUNTIFS(Pedidos!$D$5:$D$304,$B52,Pedidos!$K$5:$K$304,"⚠️ Llegó con incidencia"))</f>
        <v/>
      </c>
      <c r="F52" s="106" t="str">
        <f aca="false">IF($B52="","",SUMIFS(Pedidos!$U$5:$U$304,Pedidos!$D$5:$D$304,$B52))</f>
        <v/>
      </c>
      <c r="G52" s="106" t="str">
        <f aca="true">IF($B52="","",SUMIFS(Pedidos!$I$5:$I$304,Pedidos!$D$5:$D$304,$B52,Pedidos!$C$5:$C$304,"&gt;="&amp;DATE(YEAR(TODAY()),MONTH(TODAY()),1),Pedidos!$K$5:$K$304,"&lt;&gt;✖️ Anulado"))</f>
        <v/>
      </c>
      <c r="H52" s="106" t="str">
        <f aca="true">IF($B52="","",SUMIFS(Pedidos!$I$5:$I$304,Pedidos!$D$5:$D$304,$B52,Pedidos!$C$5:$C$304,"&gt;="&amp;DATE(YEAR(TODAY()),1,1),Pedidos!$K$5:$K$304,"&lt;&gt;✖️ Anulado"))</f>
        <v/>
      </c>
      <c r="I52" s="107" t="str">
        <f aca="false">IF($B52="","",IFERROR(AVERAGEIFS(Pedidos!$S$5:$S$304,Pedidos!$D$5:$D$304,$B52),""))</f>
        <v/>
      </c>
      <c r="J52" s="105" t="str">
        <f aca="false">IF(OR($B52="",Listas!$E$52=""),"",Listas!$E$52)</f>
        <v/>
      </c>
      <c r="K52" s="105" t="str">
        <f aca="false">IF($B52="","",COUNTIFS(Pedidos!$D$5:$D$304,$B52,Pedidos!$O$5:$O$304,"&lt;&gt;",Pedidos!$L$5:$L$304,"&gt;0"))</f>
        <v/>
      </c>
      <c r="L52" s="103" t="str">
        <f aca="false">IF(OR($B52="",N(G52)&lt;=0),"",G52+ROW()/1000000)</f>
        <v/>
      </c>
    </row>
    <row r="53" customFormat="false" ht="21" hidden="false" customHeight="true" outlineLevel="0" collapsed="false">
      <c r="B53" s="99" t="str">
        <f aca="false">IF(Listas!$B$53="","",Listas!$B$53)</f>
        <v/>
      </c>
      <c r="C53" s="100" t="str">
        <f aca="false">IF($B53="","",COUNTIFS(Pedidos!$D$5:$D$304,$B53,Pedidos!$K$5:$K$304,"🛒 Por pedir")+COUNTIFS(Pedidos!$D$5:$D$304,$B53,Pedidos!$K$5:$K$304,"📦 Pedido (esperando)")+COUNTIFS(Pedidos!$D$5:$D$304,$B53,Pedidos!$K$5:$K$304,"🐢 Retrasado")+COUNTIFS(Pedidos!$D$5:$D$304,$B53,Pedidos!$K$5:$K$304,"🧩 Llegó incompleto"))</f>
        <v/>
      </c>
      <c r="D53" s="100" t="str">
        <f aca="false">IF($B53="","",COUNTIFS(Pedidos!$D$5:$D$304,$B53,Pedidos!$K$5:$K$304,"🐢 Retrasado"))</f>
        <v/>
      </c>
      <c r="E53" s="100" t="str">
        <f aca="false">IF($B53="","",COUNTIFS(Pedidos!$D$5:$D$304,$B53,Pedidos!$K$5:$K$304,"⚠️ Llegó con incidencia"))</f>
        <v/>
      </c>
      <c r="F53" s="101" t="str">
        <f aca="false">IF($B53="","",SUMIFS(Pedidos!$U$5:$U$304,Pedidos!$D$5:$D$304,$B53))</f>
        <v/>
      </c>
      <c r="G53" s="101" t="str">
        <f aca="true">IF($B53="","",SUMIFS(Pedidos!$I$5:$I$304,Pedidos!$D$5:$D$304,$B53,Pedidos!$C$5:$C$304,"&gt;="&amp;DATE(YEAR(TODAY()),MONTH(TODAY()),1),Pedidos!$K$5:$K$304,"&lt;&gt;✖️ Anulado"))</f>
        <v/>
      </c>
      <c r="H53" s="101" t="str">
        <f aca="true">IF($B53="","",SUMIFS(Pedidos!$I$5:$I$304,Pedidos!$D$5:$D$304,$B53,Pedidos!$C$5:$C$304,"&gt;="&amp;DATE(YEAR(TODAY()),1,1),Pedidos!$K$5:$K$304,"&lt;&gt;✖️ Anulado"))</f>
        <v/>
      </c>
      <c r="I53" s="102" t="str">
        <f aca="false">IF($B53="","",IFERROR(AVERAGEIFS(Pedidos!$S$5:$S$304,Pedidos!$D$5:$D$304,$B53),""))</f>
        <v/>
      </c>
      <c r="J53" s="100" t="str">
        <f aca="false">IF(OR($B53="",Listas!$E$53=""),"",Listas!$E$53)</f>
        <v/>
      </c>
      <c r="K53" s="100" t="str">
        <f aca="false">IF($B53="","",COUNTIFS(Pedidos!$D$5:$D$304,$B53,Pedidos!$O$5:$O$304,"&lt;&gt;",Pedidos!$L$5:$L$304,"&gt;0"))</f>
        <v/>
      </c>
      <c r="L53" s="103" t="str">
        <f aca="false">IF(OR($B53="",N(G53)&lt;=0),"",G53+ROW()/1000000)</f>
        <v/>
      </c>
    </row>
    <row r="54" customFormat="false" ht="21" hidden="false" customHeight="true" outlineLevel="0" collapsed="false">
      <c r="B54" s="104" t="str">
        <f aca="false">IF(Listas!$B$54="","",Listas!$B$54)</f>
        <v/>
      </c>
      <c r="C54" s="105" t="str">
        <f aca="false">IF($B54="","",COUNTIFS(Pedidos!$D$5:$D$304,$B54,Pedidos!$K$5:$K$304,"🛒 Por pedir")+COUNTIFS(Pedidos!$D$5:$D$304,$B54,Pedidos!$K$5:$K$304,"📦 Pedido (esperando)")+COUNTIFS(Pedidos!$D$5:$D$304,$B54,Pedidos!$K$5:$K$304,"🐢 Retrasado")+COUNTIFS(Pedidos!$D$5:$D$304,$B54,Pedidos!$K$5:$K$304,"🧩 Llegó incompleto"))</f>
        <v/>
      </c>
      <c r="D54" s="105" t="str">
        <f aca="false">IF($B54="","",COUNTIFS(Pedidos!$D$5:$D$304,$B54,Pedidos!$K$5:$K$304,"🐢 Retrasado"))</f>
        <v/>
      </c>
      <c r="E54" s="105" t="str">
        <f aca="false">IF($B54="","",COUNTIFS(Pedidos!$D$5:$D$304,$B54,Pedidos!$K$5:$K$304,"⚠️ Llegó con incidencia"))</f>
        <v/>
      </c>
      <c r="F54" s="106" t="str">
        <f aca="false">IF($B54="","",SUMIFS(Pedidos!$U$5:$U$304,Pedidos!$D$5:$D$304,$B54))</f>
        <v/>
      </c>
      <c r="G54" s="106" t="str">
        <f aca="true">IF($B54="","",SUMIFS(Pedidos!$I$5:$I$304,Pedidos!$D$5:$D$304,$B54,Pedidos!$C$5:$C$304,"&gt;="&amp;DATE(YEAR(TODAY()),MONTH(TODAY()),1),Pedidos!$K$5:$K$304,"&lt;&gt;✖️ Anulado"))</f>
        <v/>
      </c>
      <c r="H54" s="106" t="str">
        <f aca="true">IF($B54="","",SUMIFS(Pedidos!$I$5:$I$304,Pedidos!$D$5:$D$304,$B54,Pedidos!$C$5:$C$304,"&gt;="&amp;DATE(YEAR(TODAY()),1,1),Pedidos!$K$5:$K$304,"&lt;&gt;✖️ Anulado"))</f>
        <v/>
      </c>
      <c r="I54" s="107" t="str">
        <f aca="false">IF($B54="","",IFERROR(AVERAGEIFS(Pedidos!$S$5:$S$304,Pedidos!$D$5:$D$304,$B54),""))</f>
        <v/>
      </c>
      <c r="J54" s="105" t="str">
        <f aca="false">IF(OR($B54="",Listas!$E$54=""),"",Listas!$E$54)</f>
        <v/>
      </c>
      <c r="K54" s="105" t="str">
        <f aca="false">IF($B54="","",COUNTIFS(Pedidos!$D$5:$D$304,$B54,Pedidos!$O$5:$O$304,"&lt;&gt;",Pedidos!$L$5:$L$304,"&gt;0"))</f>
        <v/>
      </c>
      <c r="L54" s="103" t="str">
        <f aca="false">IF(OR($B54="",N(G54)&lt;=0),"",G54+ROW()/1000000)</f>
        <v/>
      </c>
    </row>
    <row r="55" customFormat="false" ht="21" hidden="false" customHeight="true" outlineLevel="0" collapsed="false">
      <c r="B55" s="99" t="str">
        <f aca="false">IF(Listas!$B$55="","",Listas!$B$55)</f>
        <v/>
      </c>
      <c r="C55" s="100" t="str">
        <f aca="false">IF($B55="","",COUNTIFS(Pedidos!$D$5:$D$304,$B55,Pedidos!$K$5:$K$304,"🛒 Por pedir")+COUNTIFS(Pedidos!$D$5:$D$304,$B55,Pedidos!$K$5:$K$304,"📦 Pedido (esperando)")+COUNTIFS(Pedidos!$D$5:$D$304,$B55,Pedidos!$K$5:$K$304,"🐢 Retrasado")+COUNTIFS(Pedidos!$D$5:$D$304,$B55,Pedidos!$K$5:$K$304,"🧩 Llegó incompleto"))</f>
        <v/>
      </c>
      <c r="D55" s="100" t="str">
        <f aca="false">IF($B55="","",COUNTIFS(Pedidos!$D$5:$D$304,$B55,Pedidos!$K$5:$K$304,"🐢 Retrasado"))</f>
        <v/>
      </c>
      <c r="E55" s="100" t="str">
        <f aca="false">IF($B55="","",COUNTIFS(Pedidos!$D$5:$D$304,$B55,Pedidos!$K$5:$K$304,"⚠️ Llegó con incidencia"))</f>
        <v/>
      </c>
      <c r="F55" s="101" t="str">
        <f aca="false">IF($B55="","",SUMIFS(Pedidos!$U$5:$U$304,Pedidos!$D$5:$D$304,$B55))</f>
        <v/>
      </c>
      <c r="G55" s="101" t="str">
        <f aca="true">IF($B55="","",SUMIFS(Pedidos!$I$5:$I$304,Pedidos!$D$5:$D$304,$B55,Pedidos!$C$5:$C$304,"&gt;="&amp;DATE(YEAR(TODAY()),MONTH(TODAY()),1),Pedidos!$K$5:$K$304,"&lt;&gt;✖️ Anulado"))</f>
        <v/>
      </c>
      <c r="H55" s="101" t="str">
        <f aca="true">IF($B55="","",SUMIFS(Pedidos!$I$5:$I$304,Pedidos!$D$5:$D$304,$B55,Pedidos!$C$5:$C$304,"&gt;="&amp;DATE(YEAR(TODAY()),1,1),Pedidos!$K$5:$K$304,"&lt;&gt;✖️ Anulado"))</f>
        <v/>
      </c>
      <c r="I55" s="102" t="str">
        <f aca="false">IF($B55="","",IFERROR(AVERAGEIFS(Pedidos!$S$5:$S$304,Pedidos!$D$5:$D$304,$B55),""))</f>
        <v/>
      </c>
      <c r="J55" s="100" t="str">
        <f aca="false">IF(OR($B55="",Listas!$E$55=""),"",Listas!$E$55)</f>
        <v/>
      </c>
      <c r="K55" s="100" t="str">
        <f aca="false">IF($B55="","",COUNTIFS(Pedidos!$D$5:$D$304,$B55,Pedidos!$O$5:$O$304,"&lt;&gt;",Pedidos!$L$5:$L$304,"&gt;0"))</f>
        <v/>
      </c>
      <c r="L55" s="103" t="str">
        <f aca="false">IF(OR($B55="",N(G55)&lt;=0),"",G55+ROW()/1000000)</f>
        <v/>
      </c>
    </row>
    <row r="56" customFormat="false" ht="21" hidden="false" customHeight="true" outlineLevel="0" collapsed="false">
      <c r="B56" s="104" t="str">
        <f aca="false">IF(Listas!$B$56="","",Listas!$B$56)</f>
        <v/>
      </c>
      <c r="C56" s="105" t="str">
        <f aca="false">IF($B56="","",COUNTIFS(Pedidos!$D$5:$D$304,$B56,Pedidos!$K$5:$K$304,"🛒 Por pedir")+COUNTIFS(Pedidos!$D$5:$D$304,$B56,Pedidos!$K$5:$K$304,"📦 Pedido (esperando)")+COUNTIFS(Pedidos!$D$5:$D$304,$B56,Pedidos!$K$5:$K$304,"🐢 Retrasado")+COUNTIFS(Pedidos!$D$5:$D$304,$B56,Pedidos!$K$5:$K$304,"🧩 Llegó incompleto"))</f>
        <v/>
      </c>
      <c r="D56" s="105" t="str">
        <f aca="false">IF($B56="","",COUNTIFS(Pedidos!$D$5:$D$304,$B56,Pedidos!$K$5:$K$304,"🐢 Retrasado"))</f>
        <v/>
      </c>
      <c r="E56" s="105" t="str">
        <f aca="false">IF($B56="","",COUNTIFS(Pedidos!$D$5:$D$304,$B56,Pedidos!$K$5:$K$304,"⚠️ Llegó con incidencia"))</f>
        <v/>
      </c>
      <c r="F56" s="106" t="str">
        <f aca="false">IF($B56="","",SUMIFS(Pedidos!$U$5:$U$304,Pedidos!$D$5:$D$304,$B56))</f>
        <v/>
      </c>
      <c r="G56" s="106" t="str">
        <f aca="true">IF($B56="","",SUMIFS(Pedidos!$I$5:$I$304,Pedidos!$D$5:$D$304,$B56,Pedidos!$C$5:$C$304,"&gt;="&amp;DATE(YEAR(TODAY()),MONTH(TODAY()),1),Pedidos!$K$5:$K$304,"&lt;&gt;✖️ Anulado"))</f>
        <v/>
      </c>
      <c r="H56" s="106" t="str">
        <f aca="true">IF($B56="","",SUMIFS(Pedidos!$I$5:$I$304,Pedidos!$D$5:$D$304,$B56,Pedidos!$C$5:$C$304,"&gt;="&amp;DATE(YEAR(TODAY()),1,1),Pedidos!$K$5:$K$304,"&lt;&gt;✖️ Anulado"))</f>
        <v/>
      </c>
      <c r="I56" s="107" t="str">
        <f aca="false">IF($B56="","",IFERROR(AVERAGEIFS(Pedidos!$S$5:$S$304,Pedidos!$D$5:$D$304,$B56),""))</f>
        <v/>
      </c>
      <c r="J56" s="105" t="str">
        <f aca="false">IF(OR($B56="",Listas!$E$56=""),"",Listas!$E$56)</f>
        <v/>
      </c>
      <c r="K56" s="105" t="str">
        <f aca="false">IF($B56="","",COUNTIFS(Pedidos!$D$5:$D$304,$B56,Pedidos!$O$5:$O$304,"&lt;&gt;",Pedidos!$L$5:$L$304,"&gt;0"))</f>
        <v/>
      </c>
      <c r="L56" s="103" t="str">
        <f aca="false">IF(OR($B56="",N(G56)&lt;=0),"",G56+ROW()/1000000)</f>
        <v/>
      </c>
    </row>
    <row r="57" customFormat="false" ht="21" hidden="false" customHeight="true" outlineLevel="0" collapsed="false">
      <c r="B57" s="99" t="str">
        <f aca="false">IF(Listas!$B$57="","",Listas!$B$57)</f>
        <v/>
      </c>
      <c r="C57" s="100" t="str">
        <f aca="false">IF($B57="","",COUNTIFS(Pedidos!$D$5:$D$304,$B57,Pedidos!$K$5:$K$304,"🛒 Por pedir")+COUNTIFS(Pedidos!$D$5:$D$304,$B57,Pedidos!$K$5:$K$304,"📦 Pedido (esperando)")+COUNTIFS(Pedidos!$D$5:$D$304,$B57,Pedidos!$K$5:$K$304,"🐢 Retrasado")+COUNTIFS(Pedidos!$D$5:$D$304,$B57,Pedidos!$K$5:$K$304,"🧩 Llegó incompleto"))</f>
        <v/>
      </c>
      <c r="D57" s="100" t="str">
        <f aca="false">IF($B57="","",COUNTIFS(Pedidos!$D$5:$D$304,$B57,Pedidos!$K$5:$K$304,"🐢 Retrasado"))</f>
        <v/>
      </c>
      <c r="E57" s="100" t="str">
        <f aca="false">IF($B57="","",COUNTIFS(Pedidos!$D$5:$D$304,$B57,Pedidos!$K$5:$K$304,"⚠️ Llegó con incidencia"))</f>
        <v/>
      </c>
      <c r="F57" s="101" t="str">
        <f aca="false">IF($B57="","",SUMIFS(Pedidos!$U$5:$U$304,Pedidos!$D$5:$D$304,$B57))</f>
        <v/>
      </c>
      <c r="G57" s="101" t="str">
        <f aca="true">IF($B57="","",SUMIFS(Pedidos!$I$5:$I$304,Pedidos!$D$5:$D$304,$B57,Pedidos!$C$5:$C$304,"&gt;="&amp;DATE(YEAR(TODAY()),MONTH(TODAY()),1),Pedidos!$K$5:$K$304,"&lt;&gt;✖️ Anulado"))</f>
        <v/>
      </c>
      <c r="H57" s="101" t="str">
        <f aca="true">IF($B57="","",SUMIFS(Pedidos!$I$5:$I$304,Pedidos!$D$5:$D$304,$B57,Pedidos!$C$5:$C$304,"&gt;="&amp;DATE(YEAR(TODAY()),1,1),Pedidos!$K$5:$K$304,"&lt;&gt;✖️ Anulado"))</f>
        <v/>
      </c>
      <c r="I57" s="102" t="str">
        <f aca="false">IF($B57="","",IFERROR(AVERAGEIFS(Pedidos!$S$5:$S$304,Pedidos!$D$5:$D$304,$B57),""))</f>
        <v/>
      </c>
      <c r="J57" s="100" t="str">
        <f aca="false">IF(OR($B57="",Listas!$E$57=""),"",Listas!$E$57)</f>
        <v/>
      </c>
      <c r="K57" s="100" t="str">
        <f aca="false">IF($B57="","",COUNTIFS(Pedidos!$D$5:$D$304,$B57,Pedidos!$O$5:$O$304,"&lt;&gt;",Pedidos!$L$5:$L$304,"&gt;0"))</f>
        <v/>
      </c>
      <c r="L57" s="103" t="str">
        <f aca="false">IF(OR($B57="",N(G57)&lt;=0),"",G57+ROW()/1000000)</f>
        <v/>
      </c>
    </row>
    <row r="58" customFormat="false" ht="21" hidden="false" customHeight="true" outlineLevel="0" collapsed="false">
      <c r="B58" s="104" t="str">
        <f aca="false">IF(Listas!$B$58="","",Listas!$B$58)</f>
        <v/>
      </c>
      <c r="C58" s="105" t="str">
        <f aca="false">IF($B58="","",COUNTIFS(Pedidos!$D$5:$D$304,$B58,Pedidos!$K$5:$K$304,"🛒 Por pedir")+COUNTIFS(Pedidos!$D$5:$D$304,$B58,Pedidos!$K$5:$K$304,"📦 Pedido (esperando)")+COUNTIFS(Pedidos!$D$5:$D$304,$B58,Pedidos!$K$5:$K$304,"🐢 Retrasado")+COUNTIFS(Pedidos!$D$5:$D$304,$B58,Pedidos!$K$5:$K$304,"🧩 Llegó incompleto"))</f>
        <v/>
      </c>
      <c r="D58" s="105" t="str">
        <f aca="false">IF($B58="","",COUNTIFS(Pedidos!$D$5:$D$304,$B58,Pedidos!$K$5:$K$304,"🐢 Retrasado"))</f>
        <v/>
      </c>
      <c r="E58" s="105" t="str">
        <f aca="false">IF($B58="","",COUNTIFS(Pedidos!$D$5:$D$304,$B58,Pedidos!$K$5:$K$304,"⚠️ Llegó con incidencia"))</f>
        <v/>
      </c>
      <c r="F58" s="106" t="str">
        <f aca="false">IF($B58="","",SUMIFS(Pedidos!$U$5:$U$304,Pedidos!$D$5:$D$304,$B58))</f>
        <v/>
      </c>
      <c r="G58" s="106" t="str">
        <f aca="true">IF($B58="","",SUMIFS(Pedidos!$I$5:$I$304,Pedidos!$D$5:$D$304,$B58,Pedidos!$C$5:$C$304,"&gt;="&amp;DATE(YEAR(TODAY()),MONTH(TODAY()),1),Pedidos!$K$5:$K$304,"&lt;&gt;✖️ Anulado"))</f>
        <v/>
      </c>
      <c r="H58" s="106" t="str">
        <f aca="true">IF($B58="","",SUMIFS(Pedidos!$I$5:$I$304,Pedidos!$D$5:$D$304,$B58,Pedidos!$C$5:$C$304,"&gt;="&amp;DATE(YEAR(TODAY()),1,1),Pedidos!$K$5:$K$304,"&lt;&gt;✖️ Anulado"))</f>
        <v/>
      </c>
      <c r="I58" s="107" t="str">
        <f aca="false">IF($B58="","",IFERROR(AVERAGEIFS(Pedidos!$S$5:$S$304,Pedidos!$D$5:$D$304,$B58),""))</f>
        <v/>
      </c>
      <c r="J58" s="105" t="str">
        <f aca="false">IF(OR($B58="",Listas!$E$58=""),"",Listas!$E$58)</f>
        <v/>
      </c>
      <c r="K58" s="105" t="str">
        <f aca="false">IF($B58="","",COUNTIFS(Pedidos!$D$5:$D$304,$B58,Pedidos!$O$5:$O$304,"&lt;&gt;",Pedidos!$L$5:$L$304,"&gt;0"))</f>
        <v/>
      </c>
      <c r="L58" s="103" t="str">
        <f aca="false">IF(OR($B58="",N(G58)&lt;=0),"",G58+ROW()/1000000)</f>
        <v/>
      </c>
    </row>
    <row r="59" customFormat="false" ht="21" hidden="false" customHeight="true" outlineLevel="0" collapsed="false">
      <c r="B59" s="99" t="str">
        <f aca="false">IF(Listas!$B$59="","",Listas!$B$59)</f>
        <v/>
      </c>
      <c r="C59" s="100" t="str">
        <f aca="false">IF($B59="","",COUNTIFS(Pedidos!$D$5:$D$304,$B59,Pedidos!$K$5:$K$304,"🛒 Por pedir")+COUNTIFS(Pedidos!$D$5:$D$304,$B59,Pedidos!$K$5:$K$304,"📦 Pedido (esperando)")+COUNTIFS(Pedidos!$D$5:$D$304,$B59,Pedidos!$K$5:$K$304,"🐢 Retrasado")+COUNTIFS(Pedidos!$D$5:$D$304,$B59,Pedidos!$K$5:$K$304,"🧩 Llegó incompleto"))</f>
        <v/>
      </c>
      <c r="D59" s="100" t="str">
        <f aca="false">IF($B59="","",COUNTIFS(Pedidos!$D$5:$D$304,$B59,Pedidos!$K$5:$K$304,"🐢 Retrasado"))</f>
        <v/>
      </c>
      <c r="E59" s="100" t="str">
        <f aca="false">IF($B59="","",COUNTIFS(Pedidos!$D$5:$D$304,$B59,Pedidos!$K$5:$K$304,"⚠️ Llegó con incidencia"))</f>
        <v/>
      </c>
      <c r="F59" s="101" t="str">
        <f aca="false">IF($B59="","",SUMIFS(Pedidos!$U$5:$U$304,Pedidos!$D$5:$D$304,$B59))</f>
        <v/>
      </c>
      <c r="G59" s="101" t="str">
        <f aca="true">IF($B59="","",SUMIFS(Pedidos!$I$5:$I$304,Pedidos!$D$5:$D$304,$B59,Pedidos!$C$5:$C$304,"&gt;="&amp;DATE(YEAR(TODAY()),MONTH(TODAY()),1),Pedidos!$K$5:$K$304,"&lt;&gt;✖️ Anulado"))</f>
        <v/>
      </c>
      <c r="H59" s="101" t="str">
        <f aca="true">IF($B59="","",SUMIFS(Pedidos!$I$5:$I$304,Pedidos!$D$5:$D$304,$B59,Pedidos!$C$5:$C$304,"&gt;="&amp;DATE(YEAR(TODAY()),1,1),Pedidos!$K$5:$K$304,"&lt;&gt;✖️ Anulado"))</f>
        <v/>
      </c>
      <c r="I59" s="102" t="str">
        <f aca="false">IF($B59="","",IFERROR(AVERAGEIFS(Pedidos!$S$5:$S$304,Pedidos!$D$5:$D$304,$B59),""))</f>
        <v/>
      </c>
      <c r="J59" s="100" t="str">
        <f aca="false">IF(OR($B59="",Listas!$E$59=""),"",Listas!$E$59)</f>
        <v/>
      </c>
      <c r="K59" s="100" t="str">
        <f aca="false">IF($B59="","",COUNTIFS(Pedidos!$D$5:$D$304,$B59,Pedidos!$O$5:$O$304,"&lt;&gt;",Pedidos!$L$5:$L$304,"&gt;0"))</f>
        <v/>
      </c>
      <c r="L59" s="103" t="str">
        <f aca="false">IF(OR($B59="",N(G59)&lt;=0),"",G59+ROW()/1000000)</f>
        <v/>
      </c>
    </row>
    <row r="60" customFormat="false" ht="21" hidden="false" customHeight="true" outlineLevel="0" collapsed="false">
      <c r="B60" s="104" t="str">
        <f aca="false">IF(Listas!$B$60="","",Listas!$B$60)</f>
        <v/>
      </c>
      <c r="C60" s="105" t="str">
        <f aca="false">IF($B60="","",COUNTIFS(Pedidos!$D$5:$D$304,$B60,Pedidos!$K$5:$K$304,"🛒 Por pedir")+COUNTIFS(Pedidos!$D$5:$D$304,$B60,Pedidos!$K$5:$K$304,"📦 Pedido (esperando)")+COUNTIFS(Pedidos!$D$5:$D$304,$B60,Pedidos!$K$5:$K$304,"🐢 Retrasado")+COUNTIFS(Pedidos!$D$5:$D$304,$B60,Pedidos!$K$5:$K$304,"🧩 Llegó incompleto"))</f>
        <v/>
      </c>
      <c r="D60" s="105" t="str">
        <f aca="false">IF($B60="","",COUNTIFS(Pedidos!$D$5:$D$304,$B60,Pedidos!$K$5:$K$304,"🐢 Retrasado"))</f>
        <v/>
      </c>
      <c r="E60" s="105" t="str">
        <f aca="false">IF($B60="","",COUNTIFS(Pedidos!$D$5:$D$304,$B60,Pedidos!$K$5:$K$304,"⚠️ Llegó con incidencia"))</f>
        <v/>
      </c>
      <c r="F60" s="106" t="str">
        <f aca="false">IF($B60="","",SUMIFS(Pedidos!$U$5:$U$304,Pedidos!$D$5:$D$304,$B60))</f>
        <v/>
      </c>
      <c r="G60" s="106" t="str">
        <f aca="true">IF($B60="","",SUMIFS(Pedidos!$I$5:$I$304,Pedidos!$D$5:$D$304,$B60,Pedidos!$C$5:$C$304,"&gt;="&amp;DATE(YEAR(TODAY()),MONTH(TODAY()),1),Pedidos!$K$5:$K$304,"&lt;&gt;✖️ Anulado"))</f>
        <v/>
      </c>
      <c r="H60" s="106" t="str">
        <f aca="true">IF($B60="","",SUMIFS(Pedidos!$I$5:$I$304,Pedidos!$D$5:$D$304,$B60,Pedidos!$C$5:$C$304,"&gt;="&amp;DATE(YEAR(TODAY()),1,1),Pedidos!$K$5:$K$304,"&lt;&gt;✖️ Anulado"))</f>
        <v/>
      </c>
      <c r="I60" s="107" t="str">
        <f aca="false">IF($B60="","",IFERROR(AVERAGEIFS(Pedidos!$S$5:$S$304,Pedidos!$D$5:$D$304,$B60),""))</f>
        <v/>
      </c>
      <c r="J60" s="105" t="str">
        <f aca="false">IF(OR($B60="",Listas!$E$60=""),"",Listas!$E$60)</f>
        <v/>
      </c>
      <c r="K60" s="105" t="str">
        <f aca="false">IF($B60="","",COUNTIFS(Pedidos!$D$5:$D$304,$B60,Pedidos!$O$5:$O$304,"&lt;&gt;",Pedidos!$L$5:$L$304,"&gt;0"))</f>
        <v/>
      </c>
      <c r="L60" s="103" t="str">
        <f aca="false">IF(OR($B60="",N(G60)&lt;=0),"",G60+ROW()/1000000)</f>
        <v/>
      </c>
    </row>
  </sheetData>
  <mergeCells count="1">
    <mergeCell ref="G1:K1"/>
  </mergeCells>
  <conditionalFormatting sqref="D5:D60">
    <cfRule type="expression" priority="2" aboveAverage="0" equalAverage="0" bottom="0" percent="0" rank="0" text="" dxfId="35">
      <formula>N($D5)&gt;0</formula>
    </cfRule>
  </conditionalFormatting>
  <conditionalFormatting sqref="E5:E60">
    <cfRule type="expression" priority="3" aboveAverage="0" equalAverage="0" bottom="0" percent="0" rank="0" text="" dxfId="35">
      <formula>N($E5)&gt;0</formula>
    </cfRule>
  </conditionalFormatting>
  <conditionalFormatting sqref="F5:F60">
    <cfRule type="expression" priority="4" aboveAverage="0" equalAverage="0" bottom="0" percent="0" rank="0" text="" dxfId="36">
      <formula>N($F5)&gt;0</formula>
    </cfRule>
  </conditionalFormatting>
  <hyperlinks>
    <hyperlink ref="G1" r:id="rId2" display="Plantilla gratis de Pathing  ·  pathing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A9A"/>
    <pageSetUpPr fitToPage="true"/>
  </sheetPr>
  <dimension ref="A1:J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12"/>
    <col collapsed="false" customWidth="true" hidden="false" outlineLevel="0" max="6" min="6" style="0" width="4"/>
    <col collapsed="false" customWidth="true" hidden="false" outlineLevel="0" max="7" min="7" style="0" width="12"/>
    <col collapsed="false" customWidth="true" hidden="false" outlineLevel="0" max="8" min="8" style="0" width="28"/>
    <col collapsed="false" customWidth="true" hidden="false" outlineLevel="0" max="9" min="9" style="0" width="22"/>
    <col collapsed="false" customWidth="true" hidden="false" outlineLevel="0" max="10" min="10" style="0" width="11"/>
  </cols>
  <sheetData>
    <row r="1" customFormat="false" ht="39.75" hidden="false" customHeight="true" outlineLevel="0" collapsed="false">
      <c r="A1" s="1"/>
      <c r="B1" s="108" t="s">
        <v>140</v>
      </c>
      <c r="C1" s="1"/>
      <c r="D1" s="1"/>
      <c r="E1" s="1"/>
      <c r="F1" s="1"/>
      <c r="G1" s="23" t="s">
        <v>30</v>
      </c>
      <c r="H1" s="23"/>
      <c r="I1" s="23"/>
      <c r="J1" s="23"/>
    </row>
    <row r="2" customFormat="false" ht="15" hidden="false" customHeight="false" outlineLevel="0" collapsed="false">
      <c r="B2" s="15" t="s">
        <v>141</v>
      </c>
    </row>
    <row r="3" customFormat="false" ht="25.5" hidden="false" customHeight="true" outlineLevel="0" collapsed="false">
      <c r="B3" s="109" t="s">
        <v>142</v>
      </c>
      <c r="C3" s="109"/>
      <c r="D3" s="109"/>
      <c r="E3" s="109"/>
      <c r="G3" s="110" t="s">
        <v>143</v>
      </c>
      <c r="H3" s="110"/>
      <c r="I3" s="110"/>
      <c r="J3" s="110"/>
    </row>
    <row r="4" customFormat="false" ht="36" hidden="false" customHeight="true" outlineLevel="0" collapsed="false">
      <c r="B4" s="70" t="s">
        <v>66</v>
      </c>
      <c r="C4" s="111" t="s">
        <v>144</v>
      </c>
      <c r="D4" s="70" t="s">
        <v>145</v>
      </c>
      <c r="E4" s="69" t="s">
        <v>138</v>
      </c>
      <c r="G4" s="98" t="s">
        <v>67</v>
      </c>
      <c r="H4" s="97" t="s">
        <v>68</v>
      </c>
      <c r="I4" s="97" t="s">
        <v>66</v>
      </c>
      <c r="J4" s="98" t="s">
        <v>146</v>
      </c>
    </row>
    <row r="5" customFormat="false" ht="19.5" hidden="false" customHeight="true" outlineLevel="0" collapsed="false">
      <c r="B5" s="78" t="s">
        <v>91</v>
      </c>
      <c r="C5" s="75" t="s">
        <v>147</v>
      </c>
      <c r="D5" s="78" t="s">
        <v>148</v>
      </c>
      <c r="E5" s="85" t="n">
        <v>5</v>
      </c>
      <c r="G5" s="85" t="s">
        <v>86</v>
      </c>
      <c r="H5" s="78" t="s">
        <v>87</v>
      </c>
      <c r="I5" s="78" t="s">
        <v>85</v>
      </c>
      <c r="J5" s="80" t="n">
        <v>0.12</v>
      </c>
    </row>
    <row r="6" customFormat="false" ht="19.5" hidden="false" customHeight="true" outlineLevel="0" collapsed="false">
      <c r="B6" s="112" t="s">
        <v>85</v>
      </c>
      <c r="C6" s="113" t="s">
        <v>149</v>
      </c>
      <c r="D6" s="112" t="s">
        <v>150</v>
      </c>
      <c r="E6" s="114" t="n">
        <v>3</v>
      </c>
      <c r="G6" s="114" t="s">
        <v>109</v>
      </c>
      <c r="H6" s="112" t="s">
        <v>110</v>
      </c>
      <c r="I6" s="112" t="s">
        <v>85</v>
      </c>
      <c r="J6" s="115" t="n">
        <v>0.65</v>
      </c>
    </row>
    <row r="7" customFormat="false" ht="19.5" hidden="false" customHeight="true" outlineLevel="0" collapsed="false">
      <c r="B7" s="78" t="s">
        <v>98</v>
      </c>
      <c r="C7" s="75" t="s">
        <v>151</v>
      </c>
      <c r="D7" s="78" t="s">
        <v>152</v>
      </c>
      <c r="E7" s="85" t="n">
        <v>7</v>
      </c>
      <c r="G7" s="85" t="s">
        <v>92</v>
      </c>
      <c r="H7" s="78" t="s">
        <v>93</v>
      </c>
      <c r="I7" s="78" t="s">
        <v>91</v>
      </c>
      <c r="J7" s="80" t="n">
        <v>18.5</v>
      </c>
    </row>
    <row r="8" customFormat="false" ht="19.5" hidden="false" customHeight="true" outlineLevel="0" collapsed="false">
      <c r="B8" s="112" t="s">
        <v>104</v>
      </c>
      <c r="C8" s="113" t="s">
        <v>153</v>
      </c>
      <c r="D8" s="112" t="s">
        <v>154</v>
      </c>
      <c r="E8" s="114" t="n">
        <v>7</v>
      </c>
      <c r="G8" s="114" t="s">
        <v>105</v>
      </c>
      <c r="H8" s="112" t="s">
        <v>106</v>
      </c>
      <c r="I8" s="112" t="s">
        <v>104</v>
      </c>
      <c r="J8" s="115" t="n">
        <v>7.9</v>
      </c>
    </row>
    <row r="9" customFormat="false" ht="19.5" hidden="false" customHeight="true" outlineLevel="0" collapsed="false">
      <c r="B9" s="89"/>
      <c r="C9" s="86"/>
      <c r="D9" s="89"/>
      <c r="E9" s="96"/>
      <c r="G9" s="85" t="s">
        <v>123</v>
      </c>
      <c r="H9" s="78" t="s">
        <v>124</v>
      </c>
      <c r="I9" s="78" t="s">
        <v>104</v>
      </c>
      <c r="J9" s="80" t="n">
        <v>22</v>
      </c>
    </row>
    <row r="10" customFormat="false" ht="19.5" hidden="false" customHeight="true" outlineLevel="0" collapsed="false">
      <c r="B10" s="116"/>
      <c r="C10" s="117"/>
      <c r="D10" s="116"/>
      <c r="E10" s="118"/>
      <c r="G10" s="118"/>
      <c r="H10" s="116"/>
      <c r="I10" s="116"/>
      <c r="J10" s="119"/>
    </row>
    <row r="11" customFormat="false" ht="19.5" hidden="false" customHeight="true" outlineLevel="0" collapsed="false">
      <c r="B11" s="89"/>
      <c r="C11" s="86"/>
      <c r="D11" s="89"/>
      <c r="E11" s="96"/>
      <c r="G11" s="96"/>
      <c r="H11" s="89"/>
      <c r="I11" s="89"/>
      <c r="J11" s="91"/>
    </row>
    <row r="12" customFormat="false" ht="19.5" hidden="false" customHeight="true" outlineLevel="0" collapsed="false">
      <c r="B12" s="116"/>
      <c r="C12" s="117"/>
      <c r="D12" s="116"/>
      <c r="E12" s="118"/>
      <c r="G12" s="118"/>
      <c r="H12" s="116"/>
      <c r="I12" s="116"/>
      <c r="J12" s="119"/>
    </row>
    <row r="13" customFormat="false" ht="19.5" hidden="false" customHeight="true" outlineLevel="0" collapsed="false">
      <c r="B13" s="89"/>
      <c r="C13" s="86"/>
      <c r="D13" s="89"/>
      <c r="E13" s="96"/>
      <c r="G13" s="96"/>
      <c r="H13" s="89"/>
      <c r="I13" s="89"/>
      <c r="J13" s="91"/>
    </row>
    <row r="14" customFormat="false" ht="19.5" hidden="false" customHeight="true" outlineLevel="0" collapsed="false">
      <c r="B14" s="116"/>
      <c r="C14" s="117"/>
      <c r="D14" s="116"/>
      <c r="E14" s="118"/>
      <c r="G14" s="118"/>
      <c r="H14" s="116"/>
      <c r="I14" s="116"/>
      <c r="J14" s="119"/>
    </row>
    <row r="15" customFormat="false" ht="19.5" hidden="false" customHeight="true" outlineLevel="0" collapsed="false">
      <c r="B15" s="89"/>
      <c r="C15" s="86"/>
      <c r="D15" s="89"/>
      <c r="E15" s="96"/>
      <c r="G15" s="96"/>
      <c r="H15" s="89"/>
      <c r="I15" s="89"/>
      <c r="J15" s="91"/>
    </row>
    <row r="16" customFormat="false" ht="19.5" hidden="false" customHeight="true" outlineLevel="0" collapsed="false">
      <c r="B16" s="116"/>
      <c r="C16" s="117"/>
      <c r="D16" s="116"/>
      <c r="E16" s="118"/>
      <c r="G16" s="118"/>
      <c r="H16" s="116"/>
      <c r="I16" s="116"/>
      <c r="J16" s="119"/>
    </row>
    <row r="17" customFormat="false" ht="19.5" hidden="false" customHeight="true" outlineLevel="0" collapsed="false">
      <c r="B17" s="89"/>
      <c r="C17" s="86"/>
      <c r="D17" s="89"/>
      <c r="E17" s="96"/>
      <c r="G17" s="96"/>
      <c r="H17" s="89"/>
      <c r="I17" s="89"/>
      <c r="J17" s="91"/>
    </row>
    <row r="18" customFormat="false" ht="19.5" hidden="false" customHeight="true" outlineLevel="0" collapsed="false">
      <c r="B18" s="116"/>
      <c r="C18" s="117"/>
      <c r="D18" s="116"/>
      <c r="E18" s="118"/>
      <c r="G18" s="118"/>
      <c r="H18" s="116"/>
      <c r="I18" s="116"/>
      <c r="J18" s="119"/>
    </row>
    <row r="19" customFormat="false" ht="19.5" hidden="false" customHeight="true" outlineLevel="0" collapsed="false">
      <c r="B19" s="89"/>
      <c r="C19" s="86"/>
      <c r="D19" s="89"/>
      <c r="E19" s="96"/>
      <c r="G19" s="96"/>
      <c r="H19" s="89"/>
      <c r="I19" s="89"/>
      <c r="J19" s="91"/>
    </row>
    <row r="20" customFormat="false" ht="19.5" hidden="false" customHeight="true" outlineLevel="0" collapsed="false">
      <c r="B20" s="116"/>
      <c r="C20" s="117"/>
      <c r="D20" s="116"/>
      <c r="E20" s="118"/>
      <c r="G20" s="118"/>
      <c r="H20" s="116"/>
      <c r="I20" s="116"/>
      <c r="J20" s="119"/>
    </row>
    <row r="21" customFormat="false" ht="19.5" hidden="false" customHeight="true" outlineLevel="0" collapsed="false">
      <c r="B21" s="89"/>
      <c r="C21" s="86"/>
      <c r="D21" s="89"/>
      <c r="E21" s="96"/>
      <c r="G21" s="96"/>
      <c r="H21" s="89"/>
      <c r="I21" s="89"/>
      <c r="J21" s="91"/>
    </row>
    <row r="22" customFormat="false" ht="19.5" hidden="false" customHeight="true" outlineLevel="0" collapsed="false">
      <c r="B22" s="116"/>
      <c r="C22" s="117"/>
      <c r="D22" s="116"/>
      <c r="E22" s="118"/>
      <c r="G22" s="118"/>
      <c r="H22" s="116"/>
      <c r="I22" s="116"/>
      <c r="J22" s="119"/>
    </row>
    <row r="23" customFormat="false" ht="19.5" hidden="false" customHeight="true" outlineLevel="0" collapsed="false">
      <c r="B23" s="89"/>
      <c r="C23" s="86"/>
      <c r="D23" s="89"/>
      <c r="E23" s="96"/>
      <c r="G23" s="96"/>
      <c r="H23" s="89"/>
      <c r="I23" s="89"/>
      <c r="J23" s="91"/>
    </row>
    <row r="24" customFormat="false" ht="19.5" hidden="false" customHeight="true" outlineLevel="0" collapsed="false">
      <c r="B24" s="116"/>
      <c r="C24" s="117"/>
      <c r="D24" s="116"/>
      <c r="E24" s="118"/>
      <c r="G24" s="118"/>
      <c r="H24" s="116"/>
      <c r="I24" s="116"/>
      <c r="J24" s="119"/>
    </row>
    <row r="25" customFormat="false" ht="19.5" hidden="false" customHeight="true" outlineLevel="0" collapsed="false">
      <c r="B25" s="89"/>
      <c r="C25" s="86"/>
      <c r="D25" s="89"/>
      <c r="E25" s="96"/>
      <c r="G25" s="96"/>
      <c r="H25" s="89"/>
      <c r="I25" s="89"/>
      <c r="J25" s="91"/>
    </row>
    <row r="26" customFormat="false" ht="19.5" hidden="false" customHeight="true" outlineLevel="0" collapsed="false">
      <c r="B26" s="116"/>
      <c r="C26" s="117"/>
      <c r="D26" s="116"/>
      <c r="E26" s="118"/>
      <c r="G26" s="118"/>
      <c r="H26" s="116"/>
      <c r="I26" s="116"/>
      <c r="J26" s="119"/>
    </row>
    <row r="27" customFormat="false" ht="19.5" hidden="false" customHeight="true" outlineLevel="0" collapsed="false">
      <c r="B27" s="89"/>
      <c r="C27" s="86"/>
      <c r="D27" s="89"/>
      <c r="E27" s="96"/>
      <c r="G27" s="96"/>
      <c r="H27" s="89"/>
      <c r="I27" s="89"/>
      <c r="J27" s="91"/>
    </row>
    <row r="28" customFormat="false" ht="19.5" hidden="false" customHeight="true" outlineLevel="0" collapsed="false">
      <c r="B28" s="116"/>
      <c r="C28" s="117"/>
      <c r="D28" s="116"/>
      <c r="E28" s="118"/>
      <c r="G28" s="118"/>
      <c r="H28" s="116"/>
      <c r="I28" s="116"/>
      <c r="J28" s="119"/>
    </row>
    <row r="29" customFormat="false" ht="19.5" hidden="false" customHeight="true" outlineLevel="0" collapsed="false">
      <c r="B29" s="89"/>
      <c r="C29" s="86"/>
      <c r="D29" s="89"/>
      <c r="E29" s="96"/>
      <c r="G29" s="96"/>
      <c r="H29" s="89"/>
      <c r="I29" s="89"/>
      <c r="J29" s="91"/>
    </row>
    <row r="30" customFormat="false" ht="19.5" hidden="false" customHeight="true" outlineLevel="0" collapsed="false">
      <c r="B30" s="116"/>
      <c r="C30" s="117"/>
      <c r="D30" s="116"/>
      <c r="E30" s="118"/>
      <c r="G30" s="118"/>
      <c r="H30" s="116"/>
      <c r="I30" s="116"/>
      <c r="J30" s="119"/>
    </row>
    <row r="31" customFormat="false" ht="19.5" hidden="false" customHeight="true" outlineLevel="0" collapsed="false">
      <c r="B31" s="89"/>
      <c r="C31" s="86"/>
      <c r="D31" s="89"/>
      <c r="E31" s="96"/>
      <c r="G31" s="96"/>
      <c r="H31" s="89"/>
      <c r="I31" s="89"/>
      <c r="J31" s="91"/>
    </row>
    <row r="32" customFormat="false" ht="19.5" hidden="false" customHeight="true" outlineLevel="0" collapsed="false">
      <c r="B32" s="116"/>
      <c r="C32" s="117"/>
      <c r="D32" s="116"/>
      <c r="E32" s="118"/>
      <c r="G32" s="118"/>
      <c r="H32" s="116"/>
      <c r="I32" s="116"/>
      <c r="J32" s="119"/>
    </row>
    <row r="33" customFormat="false" ht="19.5" hidden="false" customHeight="true" outlineLevel="0" collapsed="false">
      <c r="B33" s="89"/>
      <c r="C33" s="86"/>
      <c r="D33" s="89"/>
      <c r="E33" s="96"/>
      <c r="G33" s="96"/>
      <c r="H33" s="89"/>
      <c r="I33" s="89"/>
      <c r="J33" s="91"/>
    </row>
    <row r="34" customFormat="false" ht="19.5" hidden="false" customHeight="true" outlineLevel="0" collapsed="false">
      <c r="B34" s="116"/>
      <c r="C34" s="117"/>
      <c r="D34" s="116"/>
      <c r="E34" s="118"/>
      <c r="G34" s="118"/>
      <c r="H34" s="116"/>
      <c r="I34" s="116"/>
      <c r="J34" s="119"/>
    </row>
    <row r="35" customFormat="false" ht="19.5" hidden="false" customHeight="true" outlineLevel="0" collapsed="false">
      <c r="B35" s="89"/>
      <c r="C35" s="86"/>
      <c r="D35" s="89"/>
      <c r="E35" s="96"/>
      <c r="G35" s="96"/>
      <c r="H35" s="89"/>
      <c r="I35" s="89"/>
      <c r="J35" s="91"/>
    </row>
    <row r="36" customFormat="false" ht="19.5" hidden="false" customHeight="true" outlineLevel="0" collapsed="false">
      <c r="B36" s="116"/>
      <c r="C36" s="117"/>
      <c r="D36" s="116"/>
      <c r="E36" s="118"/>
      <c r="G36" s="118"/>
      <c r="H36" s="116"/>
      <c r="I36" s="116"/>
      <c r="J36" s="119"/>
    </row>
    <row r="37" customFormat="false" ht="19.5" hidden="false" customHeight="true" outlineLevel="0" collapsed="false">
      <c r="B37" s="89"/>
      <c r="C37" s="86"/>
      <c r="D37" s="89"/>
      <c r="E37" s="96"/>
      <c r="G37" s="96"/>
      <c r="H37" s="89"/>
      <c r="I37" s="89"/>
      <c r="J37" s="91"/>
    </row>
    <row r="38" customFormat="false" ht="19.5" hidden="false" customHeight="true" outlineLevel="0" collapsed="false">
      <c r="B38" s="116"/>
      <c r="C38" s="117"/>
      <c r="D38" s="116"/>
      <c r="E38" s="118"/>
      <c r="G38" s="118"/>
      <c r="H38" s="116"/>
      <c r="I38" s="116"/>
      <c r="J38" s="119"/>
    </row>
    <row r="39" customFormat="false" ht="19.5" hidden="false" customHeight="true" outlineLevel="0" collapsed="false">
      <c r="B39" s="89"/>
      <c r="C39" s="86"/>
      <c r="D39" s="89"/>
      <c r="E39" s="96"/>
      <c r="G39" s="96"/>
      <c r="H39" s="89"/>
      <c r="I39" s="89"/>
      <c r="J39" s="91"/>
    </row>
    <row r="40" customFormat="false" ht="19.5" hidden="false" customHeight="true" outlineLevel="0" collapsed="false">
      <c r="B40" s="116"/>
      <c r="C40" s="117"/>
      <c r="D40" s="116"/>
      <c r="E40" s="118"/>
      <c r="G40" s="118"/>
      <c r="H40" s="116"/>
      <c r="I40" s="116"/>
      <c r="J40" s="119"/>
    </row>
    <row r="41" customFormat="false" ht="19.5" hidden="false" customHeight="true" outlineLevel="0" collapsed="false">
      <c r="B41" s="89"/>
      <c r="C41" s="86"/>
      <c r="D41" s="89"/>
      <c r="E41" s="96"/>
      <c r="G41" s="96"/>
      <c r="H41" s="89"/>
      <c r="I41" s="89"/>
      <c r="J41" s="91"/>
    </row>
    <row r="42" customFormat="false" ht="19.5" hidden="false" customHeight="true" outlineLevel="0" collapsed="false">
      <c r="B42" s="116"/>
      <c r="C42" s="117"/>
      <c r="D42" s="116"/>
      <c r="E42" s="118"/>
      <c r="G42" s="118"/>
      <c r="H42" s="116"/>
      <c r="I42" s="116"/>
      <c r="J42" s="119"/>
    </row>
    <row r="43" customFormat="false" ht="19.5" hidden="false" customHeight="true" outlineLevel="0" collapsed="false">
      <c r="B43" s="89"/>
      <c r="C43" s="86"/>
      <c r="D43" s="89"/>
      <c r="E43" s="96"/>
      <c r="G43" s="96"/>
      <c r="H43" s="89"/>
      <c r="I43" s="89"/>
      <c r="J43" s="91"/>
    </row>
    <row r="44" customFormat="false" ht="19.5" hidden="false" customHeight="true" outlineLevel="0" collapsed="false">
      <c r="B44" s="116"/>
      <c r="C44" s="117"/>
      <c r="D44" s="116"/>
      <c r="E44" s="118"/>
      <c r="G44" s="118"/>
      <c r="H44" s="116"/>
      <c r="I44" s="116"/>
      <c r="J44" s="119"/>
    </row>
    <row r="45" customFormat="false" ht="19.5" hidden="false" customHeight="true" outlineLevel="0" collapsed="false">
      <c r="B45" s="89"/>
      <c r="C45" s="86"/>
      <c r="D45" s="89"/>
      <c r="E45" s="96"/>
      <c r="G45" s="96"/>
      <c r="H45" s="89"/>
      <c r="I45" s="89"/>
      <c r="J45" s="91"/>
    </row>
    <row r="46" customFormat="false" ht="19.5" hidden="false" customHeight="true" outlineLevel="0" collapsed="false">
      <c r="B46" s="116"/>
      <c r="C46" s="117"/>
      <c r="D46" s="116"/>
      <c r="E46" s="118"/>
      <c r="G46" s="118"/>
      <c r="H46" s="116"/>
      <c r="I46" s="116"/>
      <c r="J46" s="119"/>
    </row>
    <row r="47" customFormat="false" ht="19.5" hidden="false" customHeight="true" outlineLevel="0" collapsed="false">
      <c r="B47" s="89"/>
      <c r="C47" s="86"/>
      <c r="D47" s="89"/>
      <c r="E47" s="96"/>
      <c r="G47" s="96"/>
      <c r="H47" s="89"/>
      <c r="I47" s="89"/>
      <c r="J47" s="91"/>
    </row>
    <row r="48" customFormat="false" ht="19.5" hidden="false" customHeight="true" outlineLevel="0" collapsed="false">
      <c r="B48" s="116"/>
      <c r="C48" s="117"/>
      <c r="D48" s="116"/>
      <c r="E48" s="118"/>
      <c r="G48" s="118"/>
      <c r="H48" s="116"/>
      <c r="I48" s="116"/>
      <c r="J48" s="119"/>
    </row>
    <row r="49" customFormat="false" ht="19.5" hidden="false" customHeight="true" outlineLevel="0" collapsed="false">
      <c r="B49" s="89"/>
      <c r="C49" s="86"/>
      <c r="D49" s="89"/>
      <c r="E49" s="96"/>
      <c r="G49" s="96"/>
      <c r="H49" s="89"/>
      <c r="I49" s="89"/>
      <c r="J49" s="91"/>
    </row>
    <row r="50" customFormat="false" ht="19.5" hidden="false" customHeight="true" outlineLevel="0" collapsed="false">
      <c r="B50" s="116"/>
      <c r="C50" s="117"/>
      <c r="D50" s="116"/>
      <c r="E50" s="118"/>
      <c r="G50" s="118"/>
      <c r="H50" s="116"/>
      <c r="I50" s="116"/>
      <c r="J50" s="119"/>
    </row>
    <row r="51" customFormat="false" ht="19.5" hidden="false" customHeight="true" outlineLevel="0" collapsed="false">
      <c r="B51" s="89"/>
      <c r="C51" s="86"/>
      <c r="D51" s="89"/>
      <c r="E51" s="96"/>
      <c r="G51" s="96"/>
      <c r="H51" s="89"/>
      <c r="I51" s="89"/>
      <c r="J51" s="91"/>
    </row>
    <row r="52" customFormat="false" ht="19.5" hidden="false" customHeight="true" outlineLevel="0" collapsed="false">
      <c r="B52" s="116"/>
      <c r="C52" s="117"/>
      <c r="D52" s="116"/>
      <c r="E52" s="118"/>
      <c r="G52" s="118"/>
      <c r="H52" s="116"/>
      <c r="I52" s="116"/>
      <c r="J52" s="119"/>
    </row>
    <row r="53" customFormat="false" ht="19.5" hidden="false" customHeight="true" outlineLevel="0" collapsed="false">
      <c r="B53" s="89"/>
      <c r="C53" s="86"/>
      <c r="D53" s="89"/>
      <c r="E53" s="96"/>
      <c r="G53" s="96"/>
      <c r="H53" s="89"/>
      <c r="I53" s="89"/>
      <c r="J53" s="91"/>
    </row>
    <row r="54" customFormat="false" ht="19.5" hidden="false" customHeight="true" outlineLevel="0" collapsed="false">
      <c r="B54" s="116"/>
      <c r="C54" s="117"/>
      <c r="D54" s="116"/>
      <c r="E54" s="118"/>
      <c r="G54" s="118"/>
      <c r="H54" s="116"/>
      <c r="I54" s="116"/>
      <c r="J54" s="119"/>
    </row>
    <row r="55" customFormat="false" ht="19.5" hidden="false" customHeight="true" outlineLevel="0" collapsed="false">
      <c r="B55" s="89"/>
      <c r="C55" s="86"/>
      <c r="D55" s="89"/>
      <c r="E55" s="96"/>
      <c r="G55" s="96"/>
      <c r="H55" s="89"/>
      <c r="I55" s="89"/>
      <c r="J55" s="91"/>
    </row>
    <row r="56" customFormat="false" ht="19.5" hidden="false" customHeight="true" outlineLevel="0" collapsed="false">
      <c r="B56" s="116"/>
      <c r="C56" s="117"/>
      <c r="D56" s="116"/>
      <c r="E56" s="118"/>
      <c r="G56" s="118"/>
      <c r="H56" s="116"/>
      <c r="I56" s="116"/>
      <c r="J56" s="119"/>
    </row>
    <row r="57" customFormat="false" ht="19.5" hidden="false" customHeight="true" outlineLevel="0" collapsed="false">
      <c r="B57" s="89"/>
      <c r="C57" s="86"/>
      <c r="D57" s="89"/>
      <c r="E57" s="96"/>
      <c r="G57" s="96"/>
      <c r="H57" s="89"/>
      <c r="I57" s="89"/>
      <c r="J57" s="91"/>
    </row>
    <row r="58" customFormat="false" ht="19.5" hidden="false" customHeight="true" outlineLevel="0" collapsed="false">
      <c r="B58" s="116"/>
      <c r="C58" s="117"/>
      <c r="D58" s="116"/>
      <c r="E58" s="118"/>
      <c r="G58" s="118"/>
      <c r="H58" s="116"/>
      <c r="I58" s="116"/>
      <c r="J58" s="119"/>
    </row>
    <row r="59" customFormat="false" ht="19.5" hidden="false" customHeight="true" outlineLevel="0" collapsed="false">
      <c r="B59" s="89"/>
      <c r="C59" s="86"/>
      <c r="D59" s="89"/>
      <c r="E59" s="96"/>
      <c r="G59" s="96"/>
      <c r="H59" s="89"/>
      <c r="I59" s="89"/>
      <c r="J59" s="91"/>
    </row>
    <row r="60" customFormat="false" ht="19.5" hidden="false" customHeight="true" outlineLevel="0" collapsed="false">
      <c r="B60" s="116"/>
      <c r="C60" s="117"/>
      <c r="D60" s="116"/>
      <c r="E60" s="118"/>
      <c r="G60" s="118"/>
      <c r="H60" s="116"/>
      <c r="I60" s="116"/>
      <c r="J60" s="119"/>
    </row>
  </sheetData>
  <mergeCells count="3">
    <mergeCell ref="G1:J1"/>
    <mergeCell ref="B3:E3"/>
    <mergeCell ref="G3:J3"/>
  </mergeCells>
  <dataValidations count="1">
    <dataValidation allowBlank="true" errorStyle="stop" operator="between" showDropDown="false" showErrorMessage="false" showInputMessage="false" sqref="I5:I60" type="list">
      <formula1>$B$5:$B$60</formula1>
      <formula2>0</formula2>
    </dataValidation>
  </dataValidations>
  <hyperlinks>
    <hyperlink ref="G1" r:id="rId2" display="Plantilla gratis de Pathing  ·  pathing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2026-10-16T12:53:58Z</dcterms:created>
  <dc:creator>Pathing</dc:creator>
  <dc:description>Plantilla gratis de Pathing (https://pathing.app/plantillas/pedido-a-proveedores)</dc:description>
  <cp:keywords>pedido a proveedores plantilla Excel Google Sheets compras proveedores Pathing</cp:keywords>
  <dc:language>es-ES</dc:language>
  <cp:lastModifiedBy>Pathing</cp:lastModifiedBy>
  <dcterms:modified xsi:type="dcterms:W3CDTF">2026-10-16T12:53:59Z</dcterms:modified>
  <cp:revision>0</cp:revision>
  <dc:subject>Pedidos a proveedores: qué falta por llegar, qué llega mal y cuánto debes</dc:subject>
  <dc:title>Plantilla de pedido a proveedores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